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V:\_NEET MidAtlantic\Formula Rate\2021 Formula Rate Filing\2020 True Up\"/>
    </mc:Choice>
  </mc:AlternateContent>
  <xr:revisionPtr revIDLastSave="0" documentId="13_ncr:1_{4EAED693-2688-4533-A424-6911BFE815D0}" xr6:coauthVersionLast="44" xr6:coauthVersionMax="44" xr10:uidLastSave="{00000000-0000-0000-0000-000000000000}"/>
  <bookViews>
    <workbookView xWindow="-120" yWindow="-120" windowWidth="29040" windowHeight="15840" tabRatio="822" xr2:uid="{4D297ACF-AE4C-48EC-AF8A-90C9B0273A8A}"/>
  </bookViews>
  <sheets>
    <sheet name="Attachment H" sheetId="1" r:id="rId1"/>
    <sheet name="1-Project Rev Req" sheetId="2" r:id="rId2"/>
    <sheet name="2-Incentive ROE" sheetId="3" r:id="rId3"/>
    <sheet name="3-Project True-up" sheetId="4" r:id="rId4"/>
    <sheet name="4- Rate Base" sheetId="5" r:id="rId5"/>
    <sheet name="4a-Projection ADIT" sheetId="6" r:id="rId6"/>
    <sheet name="5-P3 Support" sheetId="7" r:id="rId7"/>
    <sheet name="6-True-Up Interest" sheetId="8" r:id="rId8"/>
    <sheet name="7 - PBOP" sheetId="9" r:id="rId9"/>
    <sheet name="8-Dep Rates" sheetId="10" r:id="rId10"/>
  </sheets>
  <externalReferences>
    <externalReference r:id="rId11"/>
    <externalReference r:id="rId12"/>
    <externalReference r:id="rId13"/>
    <externalReference r:id="rId14"/>
    <externalReference r:id="rId15"/>
    <externalReference r:id="rId16"/>
  </externalReferences>
  <definedNames>
    <definedName name="_____dat1111">[1]Sheet1!$G$2:$G$29</definedName>
    <definedName name="____dat1111">[1]Sheet1!$G$2:$G$29</definedName>
    <definedName name="___dat1111">[1]Sheet1!$G$2:$G$29</definedName>
    <definedName name="__dat1111">[1]Sheet1!$G$2:$G$29</definedName>
    <definedName name="_1E_1">#N/A</definedName>
    <definedName name="_31_Dec_00" localSheetId="2">#REF!</definedName>
    <definedName name="_31_Dec_00">#REF!</definedName>
    <definedName name="_31_Jan_01">#REF!</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lances">#REF!</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H_COS" localSheetId="1">#REF!</definedName>
    <definedName name="CH_COS">#REF!</definedName>
    <definedName name="COGEN">'[1]October Tariff kwh'!$A$1:$H$83</definedName>
    <definedName name="Columns">#REF!</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rrent_sum">#REF!</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[3]Permanent!$A$9:$O$20</definedName>
    <definedName name="DefaultCopy" localSheetId="2">#REF!</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hidden="1">{#N/A,#N/A,FALSE,"CURRENT"}</definedName>
    <definedName name="detail">#REF!</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itc">#REF!</definedName>
    <definedName name="KeyCon_Close_Date">[1]Assumptions!$E$29</definedName>
    <definedName name="kk">#REF!</definedName>
    <definedName name="l">[1]Lists!$A$2:$A$4</definedName>
    <definedName name="Labor">'[1]Labor ratio'!$A$2:$K$14</definedName>
    <definedName name="limcount" hidden="1">1</definedName>
    <definedName name="Mgmt" localSheetId="2">[4]Current!#REF!</definedName>
    <definedName name="Mgmt">[4]Current!#REF!</definedName>
    <definedName name="million">1000000</definedName>
    <definedName name="month">[1]RPT80MAR!$A$1:$D$77</definedName>
    <definedName name="months">[3]Permanent!$A$24:$A$35</definedName>
    <definedName name="MTC_Amortization">'[1]JFJ-3 MTC Rate'!$A$32:$F$82</definedName>
    <definedName name="new" localSheetId="2">#REF!</definedName>
    <definedName name="new">#REF!</definedName>
    <definedName name="non_cap_int">'[1]Input Page'!$E$11</definedName>
    <definedName name="NSP_COS" localSheetId="1">#REF!</definedName>
    <definedName name="NSP_COS">#REF!</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1">'1-Project Rev Req'!$A$1:$S$108</definedName>
    <definedName name="_xlnm.Print_Area" localSheetId="2">'2-Incentive ROE'!$A$1:$K$48</definedName>
    <definedName name="_xlnm.Print_Area" localSheetId="4">'4- Rate Base'!$A$1:$J$73</definedName>
    <definedName name="_xlnm.Print_Area" localSheetId="5">'4a-Projection ADIT'!$A$1:$K$126</definedName>
    <definedName name="_xlnm.Print_Area" localSheetId="6">'5-P3 Support'!$A$1:$M$95</definedName>
    <definedName name="_xlnm.Print_Area" localSheetId="8">'7 - PBOP'!$A$1:$F$22</definedName>
    <definedName name="_xlnm.Print_Area" localSheetId="9">'8-Dep Rates'!$A$1:$D$47</definedName>
    <definedName name="_xlnm.Print_Area" localSheetId="0">'Attachment H'!$A$1:$K$274</definedName>
    <definedName name="Print_Titles_MI">'[1]DACTIVE$'!$A$1:$IV$4,'[1]DACTIVE$'!$A$1:$A$65536</definedName>
    <definedName name="Print1" localSheetId="1">#REF!</definedName>
    <definedName name="Print1" localSheetId="2">#REF!</definedName>
    <definedName name="Print1">#REF!</definedName>
    <definedName name="Print3" localSheetId="1">#REF!</definedName>
    <definedName name="Print3">#REF!</definedName>
    <definedName name="Print4" localSheetId="1">#REF!</definedName>
    <definedName name="Print4">#REF!</definedName>
    <definedName name="Print5">#REF!</definedName>
    <definedName name="PrintareaDec">'[1]kWh-Mcf'!$E$97,'[1]kWh-Mcf'!$A$81:$E$118,'[1]kWh-Mcf'!$AM$86:$AO$118</definedName>
    <definedName name="ProjIDList">#REF!</definedName>
    <definedName name="PSCo_COS">#REF!</definedName>
    <definedName name="q_MTEP06_App_AB_Facility">#REF!</definedName>
    <definedName name="q_MTEP06_App_AB_Projects">#REF!</definedName>
    <definedName name="query">'[1]Boston Edison'!$A$1:$M$3434</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 localSheetId="2">#REF!</definedName>
    <definedName name="SPS_COS">#REF!</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axcalc">#REF!</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valDate">[1]Inputs!$B$1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 localSheetId="1">'[5]Data Entry and Forecaster'!#REF!</definedName>
    <definedName name="Xcel">'[6]Data Entry and Forecaster'!#REF!</definedName>
    <definedName name="Xcel_COS" localSheetId="1">#REF!</definedName>
    <definedName name="Xcel_COS" localSheetId="2">#REF!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0" hidden="1">'Attachment H'!$A$1:$K$267</definedName>
    <definedName name="zero">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10" l="1"/>
  <c r="D33" i="10"/>
  <c r="A31" i="10"/>
  <c r="A32" i="10" s="1"/>
  <c r="A33" i="10" s="1"/>
  <c r="A34" i="10" s="1"/>
  <c r="A35" i="10" s="1"/>
  <c r="A36" i="10" s="1"/>
  <c r="A17" i="10"/>
  <c r="A20" i="10" s="1"/>
  <c r="A21" i="10" s="1"/>
  <c r="A22" i="10" s="1"/>
  <c r="A23" i="10" s="1"/>
  <c r="A24" i="10" s="1"/>
  <c r="A25" i="10" s="1"/>
  <c r="A26" i="10" s="1"/>
  <c r="A27" i="10" s="1"/>
  <c r="A10" i="10"/>
  <c r="A11" i="10" s="1"/>
  <c r="A12" i="10" s="1"/>
  <c r="A13" i="10" s="1"/>
  <c r="A14" i="10" s="1"/>
  <c r="A15" i="10" s="1"/>
  <c r="A16" i="10" s="1"/>
  <c r="A9" i="10"/>
  <c r="A4" i="10"/>
  <c r="D11" i="9"/>
  <c r="D13" i="9" s="1"/>
  <c r="C3" i="9"/>
  <c r="H15" i="8"/>
  <c r="G15" i="8"/>
  <c r="H14" i="8"/>
  <c r="G14" i="8"/>
  <c r="H13" i="8"/>
  <c r="G13" i="8"/>
  <c r="H12" i="8"/>
  <c r="G12" i="8"/>
  <c r="H11" i="8"/>
  <c r="G11" i="8"/>
  <c r="H10" i="8"/>
  <c r="G10" i="8"/>
  <c r="H9" i="8"/>
  <c r="G9" i="8"/>
  <c r="H8" i="8"/>
  <c r="G8" i="8"/>
  <c r="G17" i="8" s="1"/>
  <c r="I3" i="8"/>
  <c r="J80" i="7"/>
  <c r="A77" i="7"/>
  <c r="A78" i="7" s="1"/>
  <c r="A79" i="7" s="1"/>
  <c r="A80" i="7" s="1"/>
  <c r="A85" i="7" s="1"/>
  <c r="A86" i="7" s="1"/>
  <c r="A87" i="7" s="1"/>
  <c r="A88" i="7" s="1"/>
  <c r="G68" i="7"/>
  <c r="F68" i="7"/>
  <c r="E68" i="7"/>
  <c r="D68" i="7"/>
  <c r="C68" i="7"/>
  <c r="A62" i="7"/>
  <c r="A63" i="7" s="1"/>
  <c r="A64" i="7" s="1"/>
  <c r="A65" i="7" s="1"/>
  <c r="A66" i="7" s="1"/>
  <c r="A67" i="7" s="1"/>
  <c r="A68" i="7" s="1"/>
  <c r="A69" i="7" s="1"/>
  <c r="A70" i="7" s="1"/>
  <c r="A73" i="7" s="1"/>
  <c r="A75" i="7" s="1"/>
  <c r="A56" i="7"/>
  <c r="A57" i="7" s="1"/>
  <c r="A58" i="7" s="1"/>
  <c r="A59" i="7" s="1"/>
  <c r="A60" i="7" s="1"/>
  <c r="A61" i="7" s="1"/>
  <c r="F54" i="7"/>
  <c r="G48" i="7"/>
  <c r="M45" i="7"/>
  <c r="L45" i="7"/>
  <c r="K45" i="7"/>
  <c r="J45" i="7"/>
  <c r="I45" i="7"/>
  <c r="H45" i="7"/>
  <c r="G45" i="7"/>
  <c r="F45" i="7"/>
  <c r="E45" i="7"/>
  <c r="D45" i="7"/>
  <c r="C45" i="7"/>
  <c r="G30" i="7"/>
  <c r="H30" i="7" s="1"/>
  <c r="I30" i="7" s="1"/>
  <c r="J30" i="7" s="1"/>
  <c r="F30" i="7"/>
  <c r="L24" i="7"/>
  <c r="K24" i="7"/>
  <c r="J24" i="7"/>
  <c r="I24" i="7"/>
  <c r="H24" i="7"/>
  <c r="D124" i="1" s="1"/>
  <c r="G24" i="7"/>
  <c r="F24" i="7"/>
  <c r="E24" i="7"/>
  <c r="D24" i="7"/>
  <c r="C24" i="7"/>
  <c r="M24" i="7"/>
  <c r="D137" i="1" s="1"/>
  <c r="H9" i="7"/>
  <c r="I9" i="7" s="1"/>
  <c r="G3" i="7"/>
  <c r="B122" i="6"/>
  <c r="J120" i="6"/>
  <c r="D115" i="6"/>
  <c r="D114" i="6"/>
  <c r="D113" i="6"/>
  <c r="D112" i="6"/>
  <c r="D111" i="6"/>
  <c r="D110" i="6"/>
  <c r="D109" i="6"/>
  <c r="D108" i="6"/>
  <c r="H107" i="6"/>
  <c r="D107" i="6"/>
  <c r="H106" i="6"/>
  <c r="D106" i="6"/>
  <c r="H105" i="6"/>
  <c r="D105" i="6"/>
  <c r="D104" i="6"/>
  <c r="B91" i="6"/>
  <c r="J89" i="6"/>
  <c r="J88" i="6"/>
  <c r="D84" i="6"/>
  <c r="D83" i="6"/>
  <c r="E82" i="6"/>
  <c r="D82" i="6"/>
  <c r="D81" i="6"/>
  <c r="D80" i="6"/>
  <c r="D79" i="6"/>
  <c r="D78" i="6"/>
  <c r="D77" i="6"/>
  <c r="H76" i="6"/>
  <c r="D76" i="6"/>
  <c r="H75" i="6"/>
  <c r="D75" i="6"/>
  <c r="H74" i="6"/>
  <c r="C74" i="6"/>
  <c r="D74" i="6" s="1"/>
  <c r="D73" i="6"/>
  <c r="D85" i="6" s="1"/>
  <c r="E73" i="6" s="1"/>
  <c r="F73" i="6" s="1"/>
  <c r="I73" i="6" s="1"/>
  <c r="B60" i="6"/>
  <c r="J58" i="6"/>
  <c r="J57" i="6" s="1"/>
  <c r="D53" i="6"/>
  <c r="D52" i="6"/>
  <c r="D51" i="6"/>
  <c r="D50" i="6"/>
  <c r="D49" i="6"/>
  <c r="D48" i="6"/>
  <c r="D47" i="6"/>
  <c r="D46" i="6"/>
  <c r="H45" i="6"/>
  <c r="D45" i="6"/>
  <c r="H44" i="6"/>
  <c r="D44" i="6"/>
  <c r="H43" i="6"/>
  <c r="E43" i="6"/>
  <c r="D43" i="6"/>
  <c r="C43" i="6"/>
  <c r="D42" i="6"/>
  <c r="B29" i="6"/>
  <c r="J27" i="6"/>
  <c r="J26" i="6"/>
  <c r="D22" i="6"/>
  <c r="E21" i="6"/>
  <c r="F21" i="6" s="1"/>
  <c r="D21" i="6"/>
  <c r="D20" i="6"/>
  <c r="D19" i="6"/>
  <c r="D18" i="6"/>
  <c r="E17" i="6"/>
  <c r="F17" i="6" s="1"/>
  <c r="D17" i="6"/>
  <c r="D16" i="6"/>
  <c r="D15" i="6"/>
  <c r="D14" i="6"/>
  <c r="D13" i="6"/>
  <c r="D23" i="6" s="1"/>
  <c r="E81" i="6" s="1"/>
  <c r="H12" i="6"/>
  <c r="D12" i="6"/>
  <c r="D11" i="6"/>
  <c r="A6" i="6"/>
  <c r="A8" i="6" s="1"/>
  <c r="A9" i="6" s="1"/>
  <c r="A10" i="6" s="1"/>
  <c r="B1" i="6"/>
  <c r="D59" i="5"/>
  <c r="I58" i="5"/>
  <c r="I54" i="5"/>
  <c r="I59" i="5" s="1"/>
  <c r="D92" i="1" s="1"/>
  <c r="I53" i="5"/>
  <c r="F49" i="5"/>
  <c r="I44" i="5"/>
  <c r="H44" i="5"/>
  <c r="G44" i="5"/>
  <c r="E44" i="5"/>
  <c r="D44" i="5"/>
  <c r="C44" i="5"/>
  <c r="D94" i="1" s="1"/>
  <c r="I94" i="1" s="1"/>
  <c r="J24" i="5"/>
  <c r="H24" i="5"/>
  <c r="G24" i="5"/>
  <c r="F24" i="5"/>
  <c r="E24" i="5"/>
  <c r="H67" i="2" s="1"/>
  <c r="D24" i="5"/>
  <c r="C24" i="5"/>
  <c r="I24" i="5"/>
  <c r="G3" i="5"/>
  <c r="E59" i="4"/>
  <c r="B57" i="4"/>
  <c r="G39" i="4"/>
  <c r="D39" i="4"/>
  <c r="F37" i="4"/>
  <c r="H37" i="4" s="1"/>
  <c r="J37" i="4" s="1"/>
  <c r="H36" i="4"/>
  <c r="F36" i="4"/>
  <c r="J35" i="4"/>
  <c r="K35" i="4" s="1"/>
  <c r="H35" i="4"/>
  <c r="F35" i="4"/>
  <c r="J34" i="4"/>
  <c r="F34" i="4"/>
  <c r="H34" i="4" s="1"/>
  <c r="K34" i="4" s="1"/>
  <c r="E34" i="4"/>
  <c r="K33" i="4"/>
  <c r="F33" i="4"/>
  <c r="H33" i="4" s="1"/>
  <c r="J33" i="4" s="1"/>
  <c r="H32" i="4"/>
  <c r="F32" i="4"/>
  <c r="J31" i="4"/>
  <c r="K31" i="4" s="1"/>
  <c r="H31" i="4"/>
  <c r="F31" i="4"/>
  <c r="J30" i="4"/>
  <c r="F30" i="4"/>
  <c r="H30" i="4" s="1"/>
  <c r="K30" i="4" s="1"/>
  <c r="E30" i="4"/>
  <c r="F29" i="4"/>
  <c r="H29" i="4" s="1"/>
  <c r="J29" i="4" s="1"/>
  <c r="H28" i="4"/>
  <c r="F28" i="4"/>
  <c r="J27" i="4"/>
  <c r="K27" i="4" s="1"/>
  <c r="H27" i="4"/>
  <c r="F27" i="4"/>
  <c r="J26" i="4"/>
  <c r="F26" i="4"/>
  <c r="H26" i="4" s="1"/>
  <c r="K26" i="4" s="1"/>
  <c r="E26" i="4"/>
  <c r="K25" i="4"/>
  <c r="F25" i="4"/>
  <c r="H25" i="4" s="1"/>
  <c r="J25" i="4" s="1"/>
  <c r="H24" i="4"/>
  <c r="F24" i="4"/>
  <c r="J23" i="4"/>
  <c r="K23" i="4" s="1"/>
  <c r="H23" i="4"/>
  <c r="F23" i="4"/>
  <c r="J22" i="4"/>
  <c r="F22" i="4"/>
  <c r="H22" i="4" s="1"/>
  <c r="K22" i="4" s="1"/>
  <c r="E22" i="4"/>
  <c r="F21" i="4"/>
  <c r="H21" i="4" s="1"/>
  <c r="J21" i="4" s="1"/>
  <c r="H20" i="4"/>
  <c r="F20" i="4"/>
  <c r="J19" i="4"/>
  <c r="K19" i="4" s="1"/>
  <c r="H19" i="4"/>
  <c r="F19" i="4"/>
  <c r="F18" i="4"/>
  <c r="E18" i="4"/>
  <c r="E7" i="4"/>
  <c r="E24" i="3"/>
  <c r="E28" i="3" s="1"/>
  <c r="B23" i="3"/>
  <c r="E15" i="3"/>
  <c r="J13" i="3"/>
  <c r="J12" i="3"/>
  <c r="A12" i="3"/>
  <c r="A13" i="3" s="1"/>
  <c r="A14" i="3" s="1"/>
  <c r="A15" i="3" s="1"/>
  <c r="A16" i="3" s="1"/>
  <c r="A18" i="3" s="1"/>
  <c r="A19" i="3" s="1"/>
  <c r="A20" i="3" s="1"/>
  <c r="A9" i="3"/>
  <c r="F5" i="3"/>
  <c r="P86" i="2"/>
  <c r="S85" i="2"/>
  <c r="G57" i="2"/>
  <c r="G56" i="2"/>
  <c r="G55" i="2"/>
  <c r="I34" i="2"/>
  <c r="L34" i="2" s="1"/>
  <c r="G7" i="2"/>
  <c r="D253" i="1"/>
  <c r="E19" i="3" s="1"/>
  <c r="E23" i="3" s="1"/>
  <c r="D238" i="1"/>
  <c r="K236" i="1"/>
  <c r="I226" i="1"/>
  <c r="I225" i="1"/>
  <c r="I222" i="1"/>
  <c r="I219" i="1"/>
  <c r="I220" i="1" s="1"/>
  <c r="G212" i="1"/>
  <c r="H14" i="3" s="1"/>
  <c r="J14" i="3" s="1"/>
  <c r="G211" i="1"/>
  <c r="D211" i="1"/>
  <c r="G210" i="1"/>
  <c r="G209" i="1"/>
  <c r="I203" i="1"/>
  <c r="D199" i="1"/>
  <c r="G198" i="1"/>
  <c r="G197" i="1"/>
  <c r="G195" i="1"/>
  <c r="A189" i="1"/>
  <c r="A191" i="1" s="1"/>
  <c r="A193" i="1" s="1"/>
  <c r="A195" i="1" s="1"/>
  <c r="A196" i="1" s="1"/>
  <c r="A197" i="1" s="1"/>
  <c r="A198" i="1" s="1"/>
  <c r="A199" i="1" s="1"/>
  <c r="A201" i="1" s="1"/>
  <c r="A202" i="1" s="1"/>
  <c r="A203" i="1" s="1"/>
  <c r="A204" i="1" s="1"/>
  <c r="A205" i="1" s="1"/>
  <c r="A207" i="1" s="1"/>
  <c r="A208" i="1" s="1"/>
  <c r="A209" i="1" s="1"/>
  <c r="A210" i="1" s="1"/>
  <c r="A211" i="1" s="1"/>
  <c r="A212" i="1" s="1"/>
  <c r="A213" i="1" s="1"/>
  <c r="A215" i="1" s="1"/>
  <c r="A217" i="1" s="1"/>
  <c r="A218" i="1" s="1"/>
  <c r="A219" i="1" s="1"/>
  <c r="A220" i="1" s="1"/>
  <c r="A222" i="1" s="1"/>
  <c r="A187" i="1"/>
  <c r="A188" i="1" s="1"/>
  <c r="D179" i="1"/>
  <c r="K177" i="1"/>
  <c r="D162" i="1"/>
  <c r="E26" i="3" s="1"/>
  <c r="D161" i="1"/>
  <c r="E25" i="3" s="1"/>
  <c r="D160" i="1"/>
  <c r="D155" i="1"/>
  <c r="C154" i="1"/>
  <c r="D151" i="1"/>
  <c r="D150" i="1"/>
  <c r="D149" i="1"/>
  <c r="D148" i="1"/>
  <c r="D146" i="1"/>
  <c r="D145" i="1"/>
  <c r="D152" i="1" s="1"/>
  <c r="I140" i="1"/>
  <c r="D140" i="1"/>
  <c r="D138" i="1"/>
  <c r="D133" i="1"/>
  <c r="D134" i="1" s="1"/>
  <c r="D101" i="1" s="1"/>
  <c r="D104" i="1" s="1"/>
  <c r="D132" i="1"/>
  <c r="D159" i="1" s="1"/>
  <c r="D131" i="1"/>
  <c r="I131" i="1" s="1"/>
  <c r="F129" i="1"/>
  <c r="D129" i="1"/>
  <c r="I129" i="1" s="1"/>
  <c r="D127" i="1"/>
  <c r="D126" i="1"/>
  <c r="D125" i="1"/>
  <c r="A124" i="1"/>
  <c r="A126" i="1" s="1"/>
  <c r="A128" i="1" s="1"/>
  <c r="A129" i="1" s="1"/>
  <c r="A130" i="1" s="1"/>
  <c r="A131" i="1" s="1"/>
  <c r="A132" i="1" s="1"/>
  <c r="A133" i="1" s="1"/>
  <c r="A134" i="1" s="1"/>
  <c r="A136" i="1" s="1"/>
  <c r="A137" i="1" s="1"/>
  <c r="A138" i="1" s="1"/>
  <c r="A139" i="1" s="1"/>
  <c r="A140" i="1" s="1"/>
  <c r="A141" i="1" s="1"/>
  <c r="A143" i="1" s="1"/>
  <c r="A144" i="1" s="1"/>
  <c r="A145" i="1" s="1"/>
  <c r="A146" i="1" s="1"/>
  <c r="A147" i="1" s="1"/>
  <c r="A148" i="1" s="1"/>
  <c r="A149" i="1" s="1"/>
  <c r="A150" i="1" s="1"/>
  <c r="A151" i="1" s="1"/>
  <c r="A152" i="1" s="1"/>
  <c r="A154" i="1" s="1"/>
  <c r="A155" i="1" s="1"/>
  <c r="D123" i="1"/>
  <c r="D122" i="1"/>
  <c r="A122" i="1"/>
  <c r="A123" i="1" s="1"/>
  <c r="D121" i="1"/>
  <c r="F120" i="1"/>
  <c r="F121" i="1" s="1"/>
  <c r="D120" i="1"/>
  <c r="A120" i="1"/>
  <c r="A121" i="1" s="1"/>
  <c r="D119" i="1"/>
  <c r="D113" i="1"/>
  <c r="K111" i="1"/>
  <c r="D103" i="1"/>
  <c r="D102" i="1"/>
  <c r="D98" i="1"/>
  <c r="D95" i="1"/>
  <c r="I95" i="1" s="1"/>
  <c r="F94" i="1"/>
  <c r="F93" i="1"/>
  <c r="D93" i="1"/>
  <c r="I93" i="1" s="1"/>
  <c r="G92" i="1"/>
  <c r="I92" i="1" s="1"/>
  <c r="D91" i="1"/>
  <c r="D90" i="1"/>
  <c r="D89" i="1"/>
  <c r="D87" i="1"/>
  <c r="D83" i="1"/>
  <c r="I81" i="1"/>
  <c r="D81" i="1"/>
  <c r="I79" i="1"/>
  <c r="D79" i="1"/>
  <c r="G74" i="1"/>
  <c r="D74" i="1"/>
  <c r="I73" i="1"/>
  <c r="G73" i="1"/>
  <c r="D72" i="1"/>
  <c r="D76" i="1" s="1"/>
  <c r="A67" i="1"/>
  <c r="A68" i="1" s="1"/>
  <c r="A70" i="1" s="1"/>
  <c r="A71" i="1" s="1"/>
  <c r="G66" i="1"/>
  <c r="I66" i="1" s="1"/>
  <c r="D66" i="1"/>
  <c r="D82" i="1" s="1"/>
  <c r="A66" i="1"/>
  <c r="A65" i="1"/>
  <c r="D64" i="1"/>
  <c r="A64" i="1"/>
  <c r="D56" i="1"/>
  <c r="K54" i="1"/>
  <c r="D16" i="1"/>
  <c r="A16" i="1"/>
  <c r="A17" i="1" s="1"/>
  <c r="A18" i="1" s="1"/>
  <c r="A19" i="1" s="1"/>
  <c r="A21" i="1" s="1"/>
  <c r="A23" i="1" s="1"/>
  <c r="A25" i="1" s="1"/>
  <c r="A15" i="1"/>
  <c r="D14" i="1"/>
  <c r="A14" i="1"/>
  <c r="C79" i="1" l="1"/>
  <c r="A72" i="1"/>
  <c r="A73" i="1" s="1"/>
  <c r="A74" i="1" s="1"/>
  <c r="A75" i="1" s="1"/>
  <c r="A224" i="1"/>
  <c r="A225" i="1" s="1"/>
  <c r="A226" i="1" s="1"/>
  <c r="A227" i="1" s="1"/>
  <c r="C15" i="1" s="1"/>
  <c r="C14" i="1"/>
  <c r="A156" i="1"/>
  <c r="A157" i="1" s="1"/>
  <c r="A158" i="1" s="1"/>
  <c r="A159" i="1" s="1"/>
  <c r="A160" i="1" s="1"/>
  <c r="A161" i="1" s="1"/>
  <c r="A162" i="1" s="1"/>
  <c r="A163" i="1" s="1"/>
  <c r="A164" i="1" s="1"/>
  <c r="A165" i="1" s="1"/>
  <c r="A166" i="1" s="1"/>
  <c r="A167" i="1" s="1"/>
  <c r="A169" i="1" s="1"/>
  <c r="A170" i="1" s="1"/>
  <c r="A172" i="1" s="1"/>
  <c r="B159" i="1"/>
  <c r="D141" i="1"/>
  <c r="F81" i="6"/>
  <c r="J73" i="6"/>
  <c r="C81" i="1"/>
  <c r="D80" i="1"/>
  <c r="D202" i="1" s="1"/>
  <c r="D205" i="1" s="1"/>
  <c r="G203" i="1" s="1"/>
  <c r="K203" i="1" s="1"/>
  <c r="G67" i="1" s="1"/>
  <c r="B27" i="3"/>
  <c r="A21" i="3"/>
  <c r="A22" i="3" s="1"/>
  <c r="A23" i="3" s="1"/>
  <c r="F82" i="6"/>
  <c r="I186" i="1"/>
  <c r="D68" i="1"/>
  <c r="G122" i="1"/>
  <c r="I74" i="1"/>
  <c r="I82" i="1" s="1"/>
  <c r="D166" i="1"/>
  <c r="D164" i="1"/>
  <c r="D165" i="1"/>
  <c r="F27" i="6"/>
  <c r="A11" i="6"/>
  <c r="A12" i="6" s="1"/>
  <c r="A13" i="6" s="1"/>
  <c r="A14" i="6" s="1"/>
  <c r="A15" i="6" s="1"/>
  <c r="A16" i="6" s="1"/>
  <c r="A17" i="6" s="1"/>
  <c r="A18" i="6" s="1"/>
  <c r="A19" i="6" s="1"/>
  <c r="A20" i="6" s="1"/>
  <c r="A21" i="6" s="1"/>
  <c r="A22" i="6" s="1"/>
  <c r="E113" i="6"/>
  <c r="E29" i="3"/>
  <c r="K66" i="2"/>
  <c r="K21" i="4"/>
  <c r="K37" i="4"/>
  <c r="E14" i="6"/>
  <c r="F14" i="6" s="1"/>
  <c r="E50" i="6"/>
  <c r="H77" i="6"/>
  <c r="E11" i="6"/>
  <c r="F11" i="6" s="1"/>
  <c r="I11" i="6" s="1"/>
  <c r="E18" i="6"/>
  <c r="F18" i="6" s="1"/>
  <c r="I227" i="1"/>
  <c r="D15" i="1" s="1"/>
  <c r="D19" i="1" s="1"/>
  <c r="E30" i="3"/>
  <c r="H66" i="2"/>
  <c r="E66" i="2"/>
  <c r="H13" i="6"/>
  <c r="E84" i="6"/>
  <c r="F84" i="6" s="1"/>
  <c r="I84" i="6" s="1"/>
  <c r="K29" i="4"/>
  <c r="D54" i="6"/>
  <c r="E42" i="6" s="1"/>
  <c r="F42" i="6" s="1"/>
  <c r="I42" i="6" s="1"/>
  <c r="J119" i="6"/>
  <c r="E114" i="6"/>
  <c r="E106" i="6"/>
  <c r="E83" i="6"/>
  <c r="F83" i="6" s="1"/>
  <c r="I83" i="6" s="1"/>
  <c r="E75" i="6"/>
  <c r="F75" i="6" s="1"/>
  <c r="I75" i="6" s="1"/>
  <c r="J75" i="6" s="1"/>
  <c r="E49" i="6"/>
  <c r="F49" i="6" s="1"/>
  <c r="E15" i="6"/>
  <c r="F15" i="6" s="1"/>
  <c r="E115" i="6"/>
  <c r="E110" i="6"/>
  <c r="E79" i="6"/>
  <c r="F79" i="6" s="1"/>
  <c r="E53" i="6"/>
  <c r="E45" i="6"/>
  <c r="F45" i="6" s="1"/>
  <c r="E19" i="6"/>
  <c r="F19" i="6" s="1"/>
  <c r="E107" i="6"/>
  <c r="F107" i="6" s="1"/>
  <c r="I107" i="6" s="1"/>
  <c r="E76" i="6"/>
  <c r="F76" i="6" s="1"/>
  <c r="I76" i="6" s="1"/>
  <c r="J76" i="6" s="1"/>
  <c r="E51" i="6"/>
  <c r="F51" i="6" s="1"/>
  <c r="E48" i="6"/>
  <c r="E12" i="6"/>
  <c r="F12" i="6" s="1"/>
  <c r="I12" i="6" s="1"/>
  <c r="E22" i="6"/>
  <c r="F22" i="6" s="1"/>
  <c r="E80" i="6"/>
  <c r="F80" i="6" s="1"/>
  <c r="E52" i="6"/>
  <c r="E16" i="6"/>
  <c r="F16" i="6" s="1"/>
  <c r="E112" i="6"/>
  <c r="E108" i="6"/>
  <c r="E105" i="6"/>
  <c r="E77" i="6"/>
  <c r="F77" i="6" s="1"/>
  <c r="E74" i="6"/>
  <c r="F74" i="6" s="1"/>
  <c r="E46" i="6"/>
  <c r="F46" i="6" s="1"/>
  <c r="E13" i="6"/>
  <c r="F13" i="6" s="1"/>
  <c r="E20" i="6"/>
  <c r="F20" i="6" s="1"/>
  <c r="E111" i="6"/>
  <c r="E109" i="6"/>
  <c r="E47" i="6"/>
  <c r="F47" i="6" s="1"/>
  <c r="E44" i="6"/>
  <c r="F44" i="6" s="1"/>
  <c r="H46" i="6"/>
  <c r="I45" i="6"/>
  <c r="E78" i="6"/>
  <c r="F78" i="6" s="1"/>
  <c r="H108" i="6"/>
  <c r="J15" i="3"/>
  <c r="E36" i="4"/>
  <c r="E28" i="4"/>
  <c r="E20" i="4"/>
  <c r="E32" i="4"/>
  <c r="E24" i="4"/>
  <c r="I44" i="6"/>
  <c r="H18" i="4"/>
  <c r="F39" i="4"/>
  <c r="H17" i="8"/>
  <c r="P33" i="8" s="1"/>
  <c r="K24" i="4"/>
  <c r="K32" i="4"/>
  <c r="J20" i="4"/>
  <c r="K20" i="4" s="1"/>
  <c r="J24" i="4"/>
  <c r="J28" i="4"/>
  <c r="K28" i="4" s="1"/>
  <c r="J32" i="4"/>
  <c r="J36" i="4"/>
  <c r="K36" i="4" s="1"/>
  <c r="F85" i="7"/>
  <c r="F87" i="7"/>
  <c r="D212" i="1" s="1"/>
  <c r="I74" i="6"/>
  <c r="J74" i="6" s="1"/>
  <c r="D116" i="6"/>
  <c r="E104" i="6" s="1"/>
  <c r="F104" i="6" s="1"/>
  <c r="I104" i="6" s="1"/>
  <c r="E19" i="4"/>
  <c r="E39" i="4" s="1"/>
  <c r="E21" i="4"/>
  <c r="E23" i="4"/>
  <c r="E25" i="4"/>
  <c r="E27" i="4"/>
  <c r="E29" i="4"/>
  <c r="E31" i="4"/>
  <c r="E33" i="4"/>
  <c r="E35" i="4"/>
  <c r="E37" i="4"/>
  <c r="J12" i="6" l="1"/>
  <c r="G75" i="1"/>
  <c r="I67" i="1"/>
  <c r="I13" i="6"/>
  <c r="H14" i="6"/>
  <c r="I189" i="1"/>
  <c r="I191" i="1" s="1"/>
  <c r="F105" i="6"/>
  <c r="I105" i="6" s="1"/>
  <c r="F48" i="6"/>
  <c r="F110" i="6"/>
  <c r="J104" i="6"/>
  <c r="J11" i="6"/>
  <c r="E20" i="3"/>
  <c r="F109" i="6"/>
  <c r="F108" i="6"/>
  <c r="F115" i="6"/>
  <c r="I77" i="6"/>
  <c r="J77" i="6" s="1"/>
  <c r="H78" i="6"/>
  <c r="F113" i="6"/>
  <c r="A24" i="3"/>
  <c r="A25" i="3" s="1"/>
  <c r="A26" i="3" s="1"/>
  <c r="A27" i="3" s="1"/>
  <c r="Q33" i="8"/>
  <c r="P34" i="8"/>
  <c r="F114" i="6"/>
  <c r="H39" i="4"/>
  <c r="D23" i="1" s="1"/>
  <c r="I23" i="1" s="1"/>
  <c r="J18" i="4"/>
  <c r="J39" i="4" s="1"/>
  <c r="J42" i="4" s="1"/>
  <c r="F111" i="6"/>
  <c r="F112" i="6"/>
  <c r="J42" i="6"/>
  <c r="F50" i="6"/>
  <c r="F43" i="6"/>
  <c r="I43" i="6" s="1"/>
  <c r="J43" i="6" s="1"/>
  <c r="J44" i="6"/>
  <c r="J45" i="6" s="1"/>
  <c r="H109" i="6"/>
  <c r="I108" i="6"/>
  <c r="A23" i="6"/>
  <c r="A25" i="6" s="1"/>
  <c r="F30" i="6"/>
  <c r="D210" i="1"/>
  <c r="F88" i="7"/>
  <c r="F52" i="6"/>
  <c r="I122" i="1"/>
  <c r="G138" i="1"/>
  <c r="G123" i="1"/>
  <c r="D84" i="1"/>
  <c r="A76" i="1"/>
  <c r="A78" i="1" s="1"/>
  <c r="A79" i="1" s="1"/>
  <c r="A80" i="1" s="1"/>
  <c r="A81" i="1" s="1"/>
  <c r="A82" i="1" s="1"/>
  <c r="A83" i="1" s="1"/>
  <c r="A84" i="1" s="1"/>
  <c r="A86" i="1" s="1"/>
  <c r="A87" i="1" s="1"/>
  <c r="A88" i="1" s="1"/>
  <c r="A89" i="1" s="1"/>
  <c r="A90" i="1" s="1"/>
  <c r="A91" i="1" s="1"/>
  <c r="A93" i="1" s="1"/>
  <c r="A94" i="1" s="1"/>
  <c r="A95" i="1" s="1"/>
  <c r="A96" i="1" s="1"/>
  <c r="A98" i="1" s="1"/>
  <c r="A100" i="1" s="1"/>
  <c r="A101" i="1" s="1"/>
  <c r="A102" i="1" s="1"/>
  <c r="A103" i="1" s="1"/>
  <c r="A104" i="1" s="1"/>
  <c r="A106" i="1" s="1"/>
  <c r="C83" i="1"/>
  <c r="H47" i="6"/>
  <c r="I46" i="6"/>
  <c r="F53" i="6"/>
  <c r="F106" i="6"/>
  <c r="I106" i="6" s="1"/>
  <c r="E196" i="1" l="1"/>
  <c r="G196" i="1" s="1"/>
  <c r="G199" i="1" s="1"/>
  <c r="G119" i="1"/>
  <c r="G14" i="1"/>
  <c r="G64" i="1"/>
  <c r="I138" i="1"/>
  <c r="G145" i="1"/>
  <c r="I109" i="6"/>
  <c r="H110" i="6"/>
  <c r="B31" i="3"/>
  <c r="A28" i="3"/>
  <c r="A29" i="3" s="1"/>
  <c r="A30" i="3" s="1"/>
  <c r="A31" i="3" s="1"/>
  <c r="A33" i="3" s="1"/>
  <c r="A35" i="3" s="1"/>
  <c r="A36" i="3" s="1"/>
  <c r="A37" i="3" s="1"/>
  <c r="A38" i="3" s="1"/>
  <c r="A39" i="3" s="1"/>
  <c r="A40" i="3" s="1"/>
  <c r="I14" i="6"/>
  <c r="H15" i="6"/>
  <c r="B30" i="3"/>
  <c r="J13" i="6"/>
  <c r="J46" i="6"/>
  <c r="I47" i="6"/>
  <c r="H48" i="6"/>
  <c r="G85" i="7"/>
  <c r="G87" i="7"/>
  <c r="G86" i="7"/>
  <c r="D213" i="1"/>
  <c r="K18" i="4"/>
  <c r="K39" i="4" s="1"/>
  <c r="B29" i="3"/>
  <c r="G124" i="1"/>
  <c r="I123" i="1"/>
  <c r="B28" i="3"/>
  <c r="I83" i="1"/>
  <c r="I75" i="1"/>
  <c r="G128" i="1"/>
  <c r="A26" i="6"/>
  <c r="A27" i="6" s="1"/>
  <c r="F26" i="6" s="1"/>
  <c r="P35" i="8"/>
  <c r="Q34" i="8"/>
  <c r="I78" i="6"/>
  <c r="J78" i="6" s="1"/>
  <c r="H79" i="6"/>
  <c r="J105" i="6"/>
  <c r="J106" i="6" s="1"/>
  <c r="J107" i="6" s="1"/>
  <c r="J108" i="6" s="1"/>
  <c r="P36" i="8" l="1"/>
  <c r="Q35" i="8"/>
  <c r="K86" i="7"/>
  <c r="I211" i="1" s="1"/>
  <c r="E211" i="1"/>
  <c r="H16" i="6"/>
  <c r="I15" i="6"/>
  <c r="G72" i="1"/>
  <c r="I64" i="1"/>
  <c r="A28" i="6"/>
  <c r="G125" i="1"/>
  <c r="I124" i="1"/>
  <c r="K87" i="7"/>
  <c r="I212" i="1" s="1"/>
  <c r="E212" i="1"/>
  <c r="J14" i="6"/>
  <c r="G15" i="1"/>
  <c r="I14" i="1"/>
  <c r="G146" i="1"/>
  <c r="I146" i="1" s="1"/>
  <c r="I145" i="1"/>
  <c r="G139" i="1"/>
  <c r="I139" i="1" s="1"/>
  <c r="I26" i="2" s="1"/>
  <c r="I27" i="2" s="1"/>
  <c r="L27" i="2" s="1"/>
  <c r="I128" i="1"/>
  <c r="K85" i="7"/>
  <c r="E210" i="1"/>
  <c r="I119" i="1"/>
  <c r="G102" i="1"/>
  <c r="I102" i="1" s="1"/>
  <c r="G132" i="1"/>
  <c r="I132" i="1" s="1"/>
  <c r="G126" i="1"/>
  <c r="I126" i="1" s="1"/>
  <c r="G120" i="1"/>
  <c r="H80" i="6"/>
  <c r="I79" i="6"/>
  <c r="I48" i="6"/>
  <c r="J48" i="6" s="1"/>
  <c r="H49" i="6"/>
  <c r="J47" i="6"/>
  <c r="I110" i="6"/>
  <c r="H111" i="6"/>
  <c r="J109" i="6"/>
  <c r="J15" i="6" l="1"/>
  <c r="H112" i="6"/>
  <c r="I111" i="6"/>
  <c r="H17" i="6"/>
  <c r="I16" i="6"/>
  <c r="J110" i="6"/>
  <c r="G127" i="1"/>
  <c r="I127" i="1" s="1"/>
  <c r="I125" i="1"/>
  <c r="I120" i="1"/>
  <c r="G121" i="1"/>
  <c r="I121" i="1" s="1"/>
  <c r="I18" i="2"/>
  <c r="I68" i="1"/>
  <c r="G68" i="1" s="1"/>
  <c r="I80" i="1"/>
  <c r="I49" i="6"/>
  <c r="J49" i="6" s="1"/>
  <c r="H50" i="6"/>
  <c r="I134" i="1"/>
  <c r="G17" i="1"/>
  <c r="G16" i="1"/>
  <c r="I16" i="1" s="1"/>
  <c r="I15" i="1"/>
  <c r="F29" i="6"/>
  <c r="A29" i="6"/>
  <c r="A30" i="6" s="1"/>
  <c r="J79" i="6"/>
  <c r="K88" i="7"/>
  <c r="I213" i="1" s="1"/>
  <c r="I210" i="1"/>
  <c r="D156" i="1" s="1"/>
  <c r="G98" i="1"/>
  <c r="I72" i="1"/>
  <c r="I76" i="1" s="1"/>
  <c r="P37" i="8"/>
  <c r="Q36" i="8"/>
  <c r="H81" i="6"/>
  <c r="I80" i="6"/>
  <c r="J80" i="6" s="1"/>
  <c r="H51" i="6" l="1"/>
  <c r="I50" i="6"/>
  <c r="J50" i="6" s="1"/>
  <c r="A31" i="6"/>
  <c r="F31" i="6"/>
  <c r="G137" i="1"/>
  <c r="I137" i="1" s="1"/>
  <c r="I141" i="1" s="1"/>
  <c r="I98" i="1"/>
  <c r="I23" i="2"/>
  <c r="L23" i="2" s="1"/>
  <c r="I17" i="6"/>
  <c r="J17" i="6" s="1"/>
  <c r="H18" i="6"/>
  <c r="I17" i="1"/>
  <c r="G18" i="1"/>
  <c r="I18" i="1" s="1"/>
  <c r="I19" i="1" s="1"/>
  <c r="I33" i="2" s="1"/>
  <c r="I22" i="2"/>
  <c r="I101" i="1"/>
  <c r="I104" i="1" s="1"/>
  <c r="J111" i="6"/>
  <c r="I81" i="6"/>
  <c r="J81" i="6" s="1"/>
  <c r="H82" i="6"/>
  <c r="I112" i="6"/>
  <c r="H113" i="6"/>
  <c r="Q37" i="8"/>
  <c r="P38" i="8"/>
  <c r="I19" i="2"/>
  <c r="I84" i="1"/>
  <c r="G84" i="1" s="1"/>
  <c r="G148" i="1"/>
  <c r="G103" i="1"/>
  <c r="I103" i="1" s="1"/>
  <c r="J16" i="6"/>
  <c r="P39" i="8" l="1"/>
  <c r="Q38" i="8"/>
  <c r="G151" i="1"/>
  <c r="I151" i="1" s="1"/>
  <c r="I148" i="1"/>
  <c r="G150" i="1"/>
  <c r="I150" i="1" s="1"/>
  <c r="A32" i="6"/>
  <c r="A33" i="6" s="1"/>
  <c r="A36" i="6" s="1"/>
  <c r="A37" i="6" s="1"/>
  <c r="A39" i="6" s="1"/>
  <c r="A40" i="6" s="1"/>
  <c r="A41" i="6" s="1"/>
  <c r="F33" i="6"/>
  <c r="I113" i="6"/>
  <c r="H114" i="6"/>
  <c r="J112" i="6"/>
  <c r="H28" i="3"/>
  <c r="G88" i="1"/>
  <c r="G89" i="1" s="1"/>
  <c r="G164" i="1"/>
  <c r="I82" i="6"/>
  <c r="H85" i="6"/>
  <c r="I18" i="6"/>
  <c r="J18" i="6" s="1"/>
  <c r="H19" i="6"/>
  <c r="H52" i="6"/>
  <c r="I51" i="6"/>
  <c r="J51" i="6" s="1"/>
  <c r="J113" i="6" l="1"/>
  <c r="P40" i="8"/>
  <c r="Q39" i="8"/>
  <c r="G165" i="1"/>
  <c r="I164" i="1"/>
  <c r="F58" i="6"/>
  <c r="A42" i="6"/>
  <c r="A43" i="6" s="1"/>
  <c r="A44" i="6" s="1"/>
  <c r="A45" i="6" s="1"/>
  <c r="A46" i="6" s="1"/>
  <c r="A47" i="6" s="1"/>
  <c r="A48" i="6" s="1"/>
  <c r="A49" i="6" s="1"/>
  <c r="A50" i="6" s="1"/>
  <c r="A51" i="6" s="1"/>
  <c r="A52" i="6" s="1"/>
  <c r="A53" i="6" s="1"/>
  <c r="I114" i="6"/>
  <c r="J114" i="6" s="1"/>
  <c r="H115" i="6"/>
  <c r="J82" i="6"/>
  <c r="J83" i="6" s="1"/>
  <c r="J84" i="6" s="1"/>
  <c r="J92" i="6" s="1"/>
  <c r="I85" i="6"/>
  <c r="I52" i="6"/>
  <c r="J52" i="6" s="1"/>
  <c r="H53" i="6"/>
  <c r="G90" i="1"/>
  <c r="I90" i="1" s="1"/>
  <c r="G91" i="1"/>
  <c r="I91" i="1" s="1"/>
  <c r="I89" i="1"/>
  <c r="H20" i="6"/>
  <c r="I19" i="6"/>
  <c r="J19" i="6" s="1"/>
  <c r="H29" i="3"/>
  <c r="J28" i="3"/>
  <c r="I152" i="1"/>
  <c r="I30" i="2" s="1"/>
  <c r="I31" i="2" s="1"/>
  <c r="L31" i="2" s="1"/>
  <c r="L36" i="2" s="1"/>
  <c r="A54" i="6" l="1"/>
  <c r="A56" i="6" s="1"/>
  <c r="F61" i="6"/>
  <c r="F81" i="2"/>
  <c r="G81" i="2" s="1"/>
  <c r="F73" i="2"/>
  <c r="G73" i="2" s="1"/>
  <c r="F80" i="2"/>
  <c r="G80" i="2" s="1"/>
  <c r="F72" i="2"/>
  <c r="G72" i="2" s="1"/>
  <c r="F79" i="2"/>
  <c r="G79" i="2" s="1"/>
  <c r="F71" i="2"/>
  <c r="G71" i="2" s="1"/>
  <c r="F66" i="2"/>
  <c r="G66" i="2" s="1"/>
  <c r="F78" i="2"/>
  <c r="G78" i="2" s="1"/>
  <c r="F70" i="2"/>
  <c r="G70" i="2" s="1"/>
  <c r="F84" i="2"/>
  <c r="G84" i="2" s="1"/>
  <c r="F83" i="2"/>
  <c r="G83" i="2" s="1"/>
  <c r="F75" i="2"/>
  <c r="G75" i="2" s="1"/>
  <c r="F77" i="2"/>
  <c r="G77" i="2" s="1"/>
  <c r="F82" i="2"/>
  <c r="G82" i="2" s="1"/>
  <c r="F74" i="2"/>
  <c r="G74" i="2" s="1"/>
  <c r="F69" i="2"/>
  <c r="G69" i="2" s="1"/>
  <c r="F67" i="2"/>
  <c r="G67" i="2" s="1"/>
  <c r="F76" i="2"/>
  <c r="G76" i="2" s="1"/>
  <c r="F68" i="2"/>
  <c r="G68" i="2" s="1"/>
  <c r="I53" i="6"/>
  <c r="H54" i="6"/>
  <c r="I165" i="1"/>
  <c r="G166" i="1"/>
  <c r="I166" i="1" s="1"/>
  <c r="H30" i="3"/>
  <c r="J30" i="3" s="1"/>
  <c r="J29" i="3"/>
  <c r="J91" i="6"/>
  <c r="J93" i="6" s="1"/>
  <c r="J95" i="6" s="1"/>
  <c r="F44" i="5" s="1"/>
  <c r="D88" i="1" s="1"/>
  <c r="P41" i="8"/>
  <c r="Q40" i="8"/>
  <c r="H21" i="6"/>
  <c r="I20" i="6"/>
  <c r="J20" i="6" s="1"/>
  <c r="I115" i="6"/>
  <c r="H116" i="6"/>
  <c r="I88" i="1" l="1"/>
  <c r="I96" i="1" s="1"/>
  <c r="I106" i="1" s="1"/>
  <c r="D96" i="1"/>
  <c r="D106" i="1" s="1"/>
  <c r="D170" i="1" s="1"/>
  <c r="H22" i="6"/>
  <c r="I21" i="6"/>
  <c r="J21" i="6" s="1"/>
  <c r="J53" i="6"/>
  <c r="J61" i="6" s="1"/>
  <c r="I54" i="6"/>
  <c r="Q41" i="8"/>
  <c r="P42" i="8"/>
  <c r="J115" i="6"/>
  <c r="J123" i="6" s="1"/>
  <c r="I116" i="6"/>
  <c r="A57" i="6"/>
  <c r="A58" i="6" s="1"/>
  <c r="F57" i="6" s="1"/>
  <c r="A59" i="6" l="1"/>
  <c r="I22" i="6"/>
  <c r="H23" i="6"/>
  <c r="D163" i="1"/>
  <c r="D167" i="1" s="1"/>
  <c r="D172" i="1" s="1"/>
  <c r="P43" i="8"/>
  <c r="Q42" i="8"/>
  <c r="J122" i="6"/>
  <c r="J124" i="6"/>
  <c r="J126" i="6" s="1"/>
  <c r="J60" i="6"/>
  <c r="J62" i="6"/>
  <c r="J64" i="6" s="1"/>
  <c r="K7" i="3"/>
  <c r="I170" i="1"/>
  <c r="K39" i="3" l="1"/>
  <c r="K16" i="3"/>
  <c r="J27" i="3" s="1"/>
  <c r="J31" i="3" s="1"/>
  <c r="K31" i="3" s="1"/>
  <c r="K33" i="3" s="1"/>
  <c r="I43" i="2"/>
  <c r="I44" i="2" s="1"/>
  <c r="K35" i="3"/>
  <c r="I163" i="1"/>
  <c r="I167" i="1" s="1"/>
  <c r="P44" i="8"/>
  <c r="Q43" i="8"/>
  <c r="J22" i="6"/>
  <c r="J30" i="6" s="1"/>
  <c r="I23" i="6"/>
  <c r="A60" i="6"/>
  <c r="A61" i="6" s="1"/>
  <c r="F60" i="6"/>
  <c r="P45" i="8" l="1"/>
  <c r="Q44" i="8"/>
  <c r="A62" i="6"/>
  <c r="F62" i="6"/>
  <c r="L44" i="2"/>
  <c r="K36" i="3"/>
  <c r="K37" i="3" s="1"/>
  <c r="K38" i="3" s="1"/>
  <c r="K40" i="3" s="1"/>
  <c r="I39" i="2"/>
  <c r="I40" i="2" s="1"/>
  <c r="L40" i="2" s="1"/>
  <c r="L46" i="2" s="1"/>
  <c r="I172" i="1"/>
  <c r="E27" i="3"/>
  <c r="E31" i="3" s="1"/>
  <c r="J29" i="6"/>
  <c r="J31" i="6"/>
  <c r="J33" i="6" s="1"/>
  <c r="N76" i="2" l="1"/>
  <c r="N68" i="2"/>
  <c r="N83" i="2"/>
  <c r="N75" i="2"/>
  <c r="N67" i="2"/>
  <c r="N84" i="2"/>
  <c r="N82" i="2"/>
  <c r="N74" i="2"/>
  <c r="N81" i="2"/>
  <c r="N73" i="2"/>
  <c r="N66" i="2"/>
  <c r="N78" i="2"/>
  <c r="N70" i="2"/>
  <c r="N79" i="2"/>
  <c r="N71" i="2"/>
  <c r="N69" i="2"/>
  <c r="N80" i="2"/>
  <c r="N77" i="2"/>
  <c r="N72" i="2"/>
  <c r="I79" i="2"/>
  <c r="J79" i="2" s="1"/>
  <c r="L79" i="2" s="1"/>
  <c r="I71" i="2"/>
  <c r="J71" i="2" s="1"/>
  <c r="L71" i="2" s="1"/>
  <c r="I78" i="2"/>
  <c r="J78" i="2" s="1"/>
  <c r="L78" i="2" s="1"/>
  <c r="I70" i="2"/>
  <c r="J70" i="2" s="1"/>
  <c r="L70" i="2" s="1"/>
  <c r="I77" i="2"/>
  <c r="J77" i="2" s="1"/>
  <c r="L77" i="2" s="1"/>
  <c r="I69" i="2"/>
  <c r="J69" i="2" s="1"/>
  <c r="L69" i="2" s="1"/>
  <c r="I76" i="2"/>
  <c r="J76" i="2" s="1"/>
  <c r="L76" i="2" s="1"/>
  <c r="I68" i="2"/>
  <c r="J68" i="2" s="1"/>
  <c r="L68" i="2" s="1"/>
  <c r="I84" i="2"/>
  <c r="J84" i="2" s="1"/>
  <c r="L84" i="2" s="1"/>
  <c r="I83" i="2"/>
  <c r="J83" i="2" s="1"/>
  <c r="L83" i="2" s="1"/>
  <c r="I81" i="2"/>
  <c r="J81" i="2" s="1"/>
  <c r="L81" i="2" s="1"/>
  <c r="I73" i="2"/>
  <c r="J73" i="2" s="1"/>
  <c r="L73" i="2" s="1"/>
  <c r="I82" i="2"/>
  <c r="J82" i="2" s="1"/>
  <c r="L82" i="2" s="1"/>
  <c r="I72" i="2"/>
  <c r="J72" i="2" s="1"/>
  <c r="L72" i="2" s="1"/>
  <c r="I67" i="2"/>
  <c r="J67" i="2" s="1"/>
  <c r="L67" i="2" s="1"/>
  <c r="I74" i="2"/>
  <c r="J74" i="2" s="1"/>
  <c r="L74" i="2" s="1"/>
  <c r="I66" i="2"/>
  <c r="J66" i="2" s="1"/>
  <c r="L66" i="2" s="1"/>
  <c r="I80" i="2"/>
  <c r="J80" i="2" s="1"/>
  <c r="L80" i="2" s="1"/>
  <c r="I75" i="2"/>
  <c r="J75" i="2" s="1"/>
  <c r="L75" i="2" s="1"/>
  <c r="Q45" i="8"/>
  <c r="P46" i="8"/>
  <c r="I46" i="2"/>
  <c r="A63" i="6"/>
  <c r="A64" i="6" s="1"/>
  <c r="A67" i="6" s="1"/>
  <c r="A68" i="6" s="1"/>
  <c r="A70" i="6" s="1"/>
  <c r="A71" i="6" s="1"/>
  <c r="A72" i="6" s="1"/>
  <c r="F64" i="6"/>
  <c r="T88" i="2"/>
  <c r="I11" i="1"/>
  <c r="I21" i="1" s="1"/>
  <c r="I25" i="1" s="1"/>
  <c r="Q82" i="2" l="1"/>
  <c r="O82" i="2"/>
  <c r="S82" i="2"/>
  <c r="O75" i="2"/>
  <c r="S75" i="2"/>
  <c r="Q75" i="2"/>
  <c r="S80" i="2"/>
  <c r="Q80" i="2"/>
  <c r="O80" i="2"/>
  <c r="S71" i="2"/>
  <c r="Q71" i="2"/>
  <c r="O71" i="2"/>
  <c r="O77" i="2"/>
  <c r="S77" i="2"/>
  <c r="Q77" i="2"/>
  <c r="Q70" i="2"/>
  <c r="S70" i="2" s="1"/>
  <c r="O70" i="2"/>
  <c r="S83" i="2"/>
  <c r="O83" i="2"/>
  <c r="Q83" i="2"/>
  <c r="Q66" i="2"/>
  <c r="S66" i="2" s="1"/>
  <c r="O66" i="2"/>
  <c r="S79" i="2"/>
  <c r="Q79" i="2"/>
  <c r="O79" i="2"/>
  <c r="Q74" i="2"/>
  <c r="O74" i="2"/>
  <c r="S74" i="2"/>
  <c r="Q68" i="2"/>
  <c r="S68" i="2" s="1"/>
  <c r="O68" i="2"/>
  <c r="S81" i="2"/>
  <c r="Q81" i="2"/>
  <c r="O81" i="2"/>
  <c r="Q84" i="2"/>
  <c r="S84" i="2"/>
  <c r="O84" i="2"/>
  <c r="A73" i="6"/>
  <c r="A74" i="6" s="1"/>
  <c r="A75" i="6" s="1"/>
  <c r="A76" i="6" s="1"/>
  <c r="A77" i="6" s="1"/>
  <c r="A78" i="6" s="1"/>
  <c r="A79" i="6" s="1"/>
  <c r="A80" i="6" s="1"/>
  <c r="A81" i="6" s="1"/>
  <c r="A82" i="6" s="1"/>
  <c r="A83" i="6" s="1"/>
  <c r="A84" i="6" s="1"/>
  <c r="F89" i="6"/>
  <c r="O67" i="2"/>
  <c r="Q67" i="2"/>
  <c r="S67" i="2" s="1"/>
  <c r="Q76" i="2"/>
  <c r="S76" i="2"/>
  <c r="O76" i="2"/>
  <c r="P47" i="8"/>
  <c r="Q46" i="8"/>
  <c r="S73" i="2"/>
  <c r="Q73" i="2"/>
  <c r="O73" i="2"/>
  <c r="S78" i="2"/>
  <c r="Q78" i="2"/>
  <c r="O78" i="2"/>
  <c r="S72" i="2"/>
  <c r="Q72" i="2"/>
  <c r="O72" i="2"/>
  <c r="O69" i="2"/>
  <c r="Q69" i="2"/>
  <c r="S69" i="2" s="1"/>
  <c r="A85" i="6" l="1"/>
  <c r="A87" i="6" s="1"/>
  <c r="F92" i="6"/>
  <c r="S86" i="2"/>
  <c r="T89" i="2" s="1"/>
  <c r="T90" i="2" s="1"/>
  <c r="P48" i="8"/>
  <c r="Q47" i="8"/>
  <c r="F88" i="6" l="1"/>
  <c r="A88" i="6"/>
  <c r="A89" i="6" s="1"/>
  <c r="P49" i="8"/>
  <c r="Q48" i="8"/>
  <c r="Q49" i="8" l="1"/>
  <c r="P50" i="8"/>
  <c r="A90" i="6"/>
  <c r="F91" i="6" l="1"/>
  <c r="A91" i="6"/>
  <c r="A92" i="6" s="1"/>
  <c r="P51" i="8"/>
  <c r="Q51" i="8" s="1"/>
  <c r="Q50" i="8"/>
  <c r="A93" i="6" l="1"/>
  <c r="F93" i="6"/>
  <c r="A94" i="6" l="1"/>
  <c r="A95" i="6" s="1"/>
  <c r="A98" i="6" s="1"/>
  <c r="A99" i="6" s="1"/>
  <c r="A101" i="6" s="1"/>
  <c r="A102" i="6" s="1"/>
  <c r="A103" i="6" s="1"/>
  <c r="F95" i="6"/>
  <c r="F120" i="6" l="1"/>
  <c r="A104" i="6"/>
  <c r="A105" i="6" s="1"/>
  <c r="A106" i="6" s="1"/>
  <c r="A107" i="6" s="1"/>
  <c r="A108" i="6" s="1"/>
  <c r="A109" i="6" s="1"/>
  <c r="A110" i="6" s="1"/>
  <c r="A111" i="6" s="1"/>
  <c r="A112" i="6" s="1"/>
  <c r="A113" i="6" s="1"/>
  <c r="A114" i="6" s="1"/>
  <c r="A115" i="6" s="1"/>
  <c r="F123" i="6" l="1"/>
  <c r="A116" i="6"/>
  <c r="A118" i="6" s="1"/>
  <c r="A119" i="6" l="1"/>
  <c r="A120" i="6" s="1"/>
  <c r="A121" i="6" l="1"/>
  <c r="F119" i="6"/>
  <c r="A122" i="6" l="1"/>
  <c r="A123" i="6" s="1"/>
  <c r="F122" i="6"/>
  <c r="A124" i="6" l="1"/>
  <c r="F124" i="6"/>
  <c r="A125" i="6" l="1"/>
  <c r="A126" i="6" s="1"/>
  <c r="F126" i="6" l="1"/>
</calcChain>
</file>

<file path=xl/sharedStrings.xml><?xml version="1.0" encoding="utf-8"?>
<sst xmlns="http://schemas.openxmlformats.org/spreadsheetml/2006/main" count="1407" uniqueCount="849">
  <si>
    <t>page 1 of 5</t>
  </si>
  <si>
    <t>Attachment H</t>
  </si>
  <si>
    <t xml:space="preserve">Formula Rate - Non-Levelized </t>
  </si>
  <si>
    <r>
      <t>NextEra Energy Transmission MidAtlantic Indiana, Inc</t>
    </r>
    <r>
      <rPr>
        <sz val="10"/>
        <color rgb="FFFF0000"/>
        <rFont val="Times New Roman"/>
        <family val="1"/>
      </rPr>
      <t>.</t>
    </r>
  </si>
  <si>
    <t>Rate Formula Template</t>
  </si>
  <si>
    <t>For  the 12 months ended 12/31/2020</t>
  </si>
  <si>
    <t>Utilizing FERC Form 1 Data</t>
  </si>
  <si>
    <t>NextEra Energy Transmission MidAtlantic Indiana, Inc.</t>
  </si>
  <si>
    <t>(1)</t>
  </si>
  <si>
    <t>(2)</t>
  </si>
  <si>
    <t>(3)</t>
  </si>
  <si>
    <t xml:space="preserve"> </t>
  </si>
  <si>
    <t>(4)</t>
  </si>
  <si>
    <t>(5)</t>
  </si>
  <si>
    <t>Line</t>
  </si>
  <si>
    <t>Allocated</t>
  </si>
  <si>
    <t>No.</t>
  </si>
  <si>
    <t>Amount</t>
  </si>
  <si>
    <t>GROSS REVENUE REQUIREMENT</t>
  </si>
  <si>
    <t>(page 3, line 47)</t>
  </si>
  <si>
    <t xml:space="preserve">REVENUE CREDITS </t>
  </si>
  <si>
    <t>(Note O)</t>
  </si>
  <si>
    <t>Total</t>
  </si>
  <si>
    <t>Allocator</t>
  </si>
  <si>
    <t xml:space="preserve">  Account No. 454</t>
  </si>
  <si>
    <t>TP</t>
  </si>
  <si>
    <t xml:space="preserve">  Account No. 456.1</t>
  </si>
  <si>
    <t xml:space="preserve">  Account No. 457.1 Scheduling</t>
  </si>
  <si>
    <t>Attachment 5, line 39,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</si>
  <si>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</si>
  <si>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</si>
  <si>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</si>
  <si>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</si>
  <si>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</si>
  <si>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</si>
  <si>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</si>
  <si>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</si>
  <si>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line 4, Col. J</t>
  </si>
  <si>
    <t>DA</t>
  </si>
  <si>
    <t>(line 8 plus line 9)</t>
  </si>
  <si>
    <t>page 2 of 5</t>
  </si>
  <si>
    <t>Transmission</t>
  </si>
  <si>
    <t>Source</t>
  </si>
  <si>
    <t>Company Total</t>
  </si>
  <si>
    <t xml:space="preserve">                  Allocator</t>
  </si>
  <si>
    <t>(Col 3 times Col 4)</t>
  </si>
  <si>
    <t xml:space="preserve">RATE BASE: </t>
  </si>
  <si>
    <t>GROSS PLANT IN SERVICE   (Notes U and R)</t>
  </si>
  <si>
    <t xml:space="preserve">  Production </t>
  </si>
  <si>
    <t>205.46.g for end of year, records for other months</t>
  </si>
  <si>
    <t>NA</t>
  </si>
  <si>
    <t xml:space="preserve">  Transmission</t>
  </si>
  <si>
    <t>Attachment 4, Line 14, Col. (b)</t>
  </si>
  <si>
    <t xml:space="preserve">  Distribution </t>
  </si>
  <si>
    <t>207.75.g for end of year, records for other months</t>
  </si>
  <si>
    <t xml:space="preserve">  General &amp; Intangible</t>
  </si>
  <si>
    <t>Attachment 4, Line 14, Col. (c)</t>
  </si>
  <si>
    <t>W/S</t>
  </si>
  <si>
    <t xml:space="preserve">  Common </t>
  </si>
  <si>
    <t>356.1 for end of year, records for other months</t>
  </si>
  <si>
    <t>CE</t>
  </si>
  <si>
    <t>TOTAL GROSS PLANT</t>
  </si>
  <si>
    <t>(Sum of Lines 1 through 5)</t>
  </si>
  <si>
    <t>GP=</t>
  </si>
  <si>
    <t>ACCUMULATED DEPRECIATION  (Notes U and R)</t>
  </si>
  <si>
    <t>219.20-24.c for end of year, records for other months</t>
  </si>
  <si>
    <t>Attachment 4, Line 14, Col. (h)</t>
  </si>
  <si>
    <t>219.26.c for end of year, records for other months</t>
  </si>
  <si>
    <t>Attachment 4, Line 14, Col. (i)</t>
  </si>
  <si>
    <t xml:space="preserve">TOTAL ACCUM. DEPRECIATION </t>
  </si>
  <si>
    <t>(Sum of Lines 8 through 12)</t>
  </si>
  <si>
    <t>NET PLANT IN SERVICE</t>
  </si>
  <si>
    <t>(Line 2 minus line 9)</t>
  </si>
  <si>
    <t>(Line 4 minus line 11)</t>
  </si>
  <si>
    <t>TOTAL NET PLANT</t>
  </si>
  <si>
    <t>(Sum of Lines 15 through 19)</t>
  </si>
  <si>
    <t>NP=</t>
  </si>
  <si>
    <t>ADJUSTMENTS TO RATE BASE  (Note R)</t>
  </si>
  <si>
    <t xml:space="preserve">  Account No. 281 (enter negative)</t>
  </si>
  <si>
    <t>Attach 4, Line 28, Col. (d)/Attach 4a, Line 54, Col. H (Notes B and X)</t>
  </si>
  <si>
    <t>zero</t>
  </si>
  <si>
    <t xml:space="preserve">  Account No. 282 (enter negative)</t>
  </si>
  <si>
    <t>Attach 4, Line 28, Col. (e)/Attach 4a, Line 81, Col. H (Notes B and X)</t>
  </si>
  <si>
    <t>NP</t>
  </si>
  <si>
    <t xml:space="preserve">  Account No. 283 (enter negative)</t>
  </si>
  <si>
    <t>Attach 4, Line 28, Col. (f)/Attach 4a, Line 108, Col. H (Notes B and X)</t>
  </si>
  <si>
    <t xml:space="preserve">  Account No. 190 </t>
  </si>
  <si>
    <t>Attach 4, Line 28, Col. (g)/Attach 4a, Line 27, Col. H (Notes B and X)</t>
  </si>
  <si>
    <t xml:space="preserve">  Account No. 255 (enter negative)</t>
  </si>
  <si>
    <t>Attachment 4, Line 28, Col. (h) (Notes B and X)</t>
  </si>
  <si>
    <t>26a</t>
  </si>
  <si>
    <t xml:space="preserve">  Unfunded Reserves (enter negative)</t>
  </si>
  <si>
    <t>Attachment 4, Line 31, Col. (h)  (Note Y)</t>
  </si>
  <si>
    <t xml:space="preserve">  CWIP</t>
  </si>
  <si>
    <t>Attachment 4, Line 14, Col. (d)</t>
  </si>
  <si>
    <t xml:space="preserve">  Unamortized Regulatory Asset </t>
  </si>
  <si>
    <t>Attachment 4, Line 28, Col. (b) (Note T)</t>
  </si>
  <si>
    <t xml:space="preserve">  Unamortized Abandoned Plant  </t>
  </si>
  <si>
    <t>Attachment 4, Line 28, Col. (c) (Note S)</t>
  </si>
  <si>
    <t xml:space="preserve">TOTAL ADJUSTMENTS </t>
  </si>
  <si>
    <t>(Sum of Lines 22 through 29)</t>
  </si>
  <si>
    <t xml:space="preserve">LAND HELD FOR FUTURE USE  </t>
  </si>
  <si>
    <t>Attachment 4, Line 14, Col. (e) (Note C)</t>
  </si>
  <si>
    <t xml:space="preserve">WORKING CAPITAL </t>
  </si>
  <si>
    <t>(Note D)</t>
  </si>
  <si>
    <t xml:space="preserve">  CWC </t>
  </si>
  <si>
    <t>1/8*(Page 3, Line 14 minus Page 3, Line 11)</t>
  </si>
  <si>
    <t xml:space="preserve">  Materials &amp; Supplies</t>
  </si>
  <si>
    <t>Attachment 4, Line 14, Col. (f) (Note C)</t>
  </si>
  <si>
    <t xml:space="preserve">  Prepayments (Account 165)</t>
  </si>
  <si>
    <t>Attachment 4, Line 14, Col. (g)</t>
  </si>
  <si>
    <t>GP</t>
  </si>
  <si>
    <t xml:space="preserve">TOTAL WORKING CAPITAL  </t>
  </si>
  <si>
    <t>(Sum of Lines 33 through 35)</t>
  </si>
  <si>
    <t xml:space="preserve">RATE BASE </t>
  </si>
  <si>
    <t>(Sum of Lines 20, 30, 31 &amp; 36)</t>
  </si>
  <si>
    <t>page 3 of 5</t>
  </si>
  <si>
    <t>O&amp;M</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</si>
  <si>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</si>
  <si>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</si>
  <si>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</si>
  <si>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</si>
  <si>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</si>
  <si>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</si>
  <si>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 xml:space="preserve">  A&amp;G</t>
  </si>
  <si>
    <t>323.197.b Attach. 5, Line 13, Col. (d)</t>
  </si>
  <si>
    <t xml:space="preserve">     Less FERC Annual Fees</t>
  </si>
  <si>
    <t>Attach. 5, Line 13, Col. (e)</t>
  </si>
  <si>
    <t xml:space="preserve">     Less EPRI &amp; Reg. Comm. Exp. &amp; Non-safety Ad.  </t>
  </si>
  <si>
    <t>(Note E) Attach. 5, Line 13, Col. (f)</t>
  </si>
  <si>
    <t>6a</t>
  </si>
  <si>
    <t xml:space="preserve">     Less PBOP Expense in Year</t>
  </si>
  <si>
    <t>Attachment 7, Line 8, Col. (g)</t>
  </si>
  <si>
    <t xml:space="preserve">     Plus Transmission Related Reg. Comm. Exp.  </t>
  </si>
  <si>
    <t>(Note E) Attach. 5, Line 13, Col. (g)</t>
  </si>
  <si>
    <t>7a</t>
  </si>
  <si>
    <t xml:space="preserve">     Plus PBOP Expense Allowed Amount</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</si>
  <si>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</si>
  <si>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</si>
  <si>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</si>
  <si>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</si>
  <si>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</si>
  <si>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</si>
  <si>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</si>
  <si>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</si>
  <si>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</si>
  <si>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</si>
  <si>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</si>
  <si>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TOTAL O&amp;M</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</si>
  <si>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</si>
  <si>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</si>
  <si>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</si>
  <si>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</si>
  <si>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</si>
  <si>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</si>
  <si>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</si>
  <si>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 xml:space="preserve">TOTAL DEPRECIATION </t>
  </si>
  <si>
    <t>(Sum of Lines 16 through 19)</t>
  </si>
  <si>
    <t xml:space="preserve">TAXES OTHER THAN INCOME TAXES </t>
  </si>
  <si>
    <t>(Note F)</t>
  </si>
  <si>
    <t xml:space="preserve">  LABOR RELATED</t>
  </si>
  <si>
    <t xml:space="preserve">          Payroll</t>
  </si>
  <si>
    <t>263.i Attach. 5, Line 26, Col. (c)</t>
  </si>
  <si>
    <t xml:space="preserve">          Highway and vehicle</t>
  </si>
  <si>
    <t>263.i Attach. 5, Line 26, Col. (d)</t>
  </si>
  <si>
    <t xml:space="preserve">  PLANT RELATED</t>
  </si>
  <si>
    <t xml:space="preserve">         Property</t>
  </si>
  <si>
    <t>263.i Attach. 5, Line 26, Co.l (e)</t>
  </si>
  <si>
    <t xml:space="preserve">         Gross Receipts</t>
  </si>
  <si>
    <t>263.i Attach. 5, Line 26, Col. (f)</t>
  </si>
  <si>
    <t xml:space="preserve">         Other</t>
  </si>
  <si>
    <t>263.i Attach. 5, Line 26, Col. (g)</t>
  </si>
  <si>
    <t xml:space="preserve">         Payments in lieu of taxes</t>
  </si>
  <si>
    <t>263.i Attach. 5, Line 26, Col. (h)</t>
  </si>
  <si>
    <t>TOTAL OTHER TAXES</t>
  </si>
  <si>
    <t>(Sum of Lines 23 through 29)</t>
  </si>
  <si>
    <t xml:space="preserve">INCOME TAXES          </t>
  </si>
  <si>
    <t xml:space="preserve">     T=1 - {[(1 - SIT) * (1 - FIT)] / (1 - SIT * FIT * p)}</t>
  </si>
  <si>
    <t xml:space="preserve">WCLTD = Page 4, Line 20 </t>
  </si>
  <si>
    <t xml:space="preserve">     CIT=(T/1-T) * (1-(WCLTD/R)) =</t>
  </si>
  <si>
    <t>R = Page 4, Line 23</t>
  </si>
  <si>
    <t xml:space="preserve">     FIT &amp; SIT &amp; P</t>
  </si>
  <si>
    <t>(Note G)</t>
  </si>
  <si>
    <t>Amortized Investment Tax Credit</t>
  </si>
  <si>
    <t>266.8f (enter negative) Attach. 5, Line 26, Col. (i)</t>
  </si>
  <si>
    <t xml:space="preserve">Excess Deferred Income Taxes </t>
  </si>
  <si>
    <t>(enter negative) Attach. 5, Line 26, Col. (j)</t>
  </si>
  <si>
    <t>Tax Effect of Permanent Differences</t>
  </si>
  <si>
    <t>Attach. 5, Line 26, Col. (k) (Note W)</t>
  </si>
  <si>
    <t xml:space="preserve">Income Tax Calculation </t>
  </si>
  <si>
    <t>(Line 33 times Line 46)</t>
  </si>
  <si>
    <t xml:space="preserve">ITC adjustment </t>
  </si>
  <si>
    <t>(Line 36 times Line 37)</t>
  </si>
  <si>
    <t xml:space="preserve">Excess Deferred Income Tax Adjustment </t>
  </si>
  <si>
    <t>(Line 36 times Line 38)</t>
  </si>
  <si>
    <t>Permanent Differences Tax Adjustment</t>
  </si>
  <si>
    <t>(Line 36 times Line 39)</t>
  </si>
  <si>
    <t xml:space="preserve">Total Income Taxes </t>
  </si>
  <si>
    <t>(Sum of Lines 40 through 43)</t>
  </si>
  <si>
    <t xml:space="preserve">RETURN </t>
  </si>
  <si>
    <t>Rate Base times Return</t>
  </si>
  <si>
    <t>(Page 2, Line 37 times Page 4, Line 23)</t>
  </si>
  <si>
    <t>REV. REQUIREMENT</t>
  </si>
  <si>
    <t>(Sum of Lines 14, 20, 30, 44 &amp; 46)</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</si>
  <si>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</si>
  <si>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</si>
  <si>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</si>
  <si>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</si>
  <si>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</si>
  <si>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</si>
  <si>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</si>
  <si>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</si>
  <si>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</si>
  <si>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</si>
  <si>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</si>
  <si>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</si>
  <si>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</si>
  <si>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</si>
  <si>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WAGES &amp; SALARY ALLOCATOR  (W&amp;S)</t>
  </si>
  <si>
    <t>Form 1 Reference</t>
  </si>
  <si>
    <t>$</t>
  </si>
  <si>
    <t>Allocation</t>
  </si>
  <si>
    <t>354.20.b</t>
  </si>
  <si>
    <t>354.21.b</t>
  </si>
  <si>
    <t>354.23.b</t>
  </si>
  <si>
    <t>W&amp;S Allocator</t>
  </si>
  <si>
    <t xml:space="preserve">  Other</t>
  </si>
  <si>
    <t>354.24,25,26.b</t>
  </si>
  <si>
    <t>($ / Allocation)</t>
  </si>
  <si>
    <t xml:space="preserve"> Total  (W&amp; S Allocator is 1 if lines 7-10 are zero)</t>
  </si>
  <si>
    <t>(Sum of Lines 7 through 10)</t>
  </si>
  <si>
    <t>=</t>
  </si>
  <si>
    <t>WS</t>
  </si>
  <si>
    <t xml:space="preserve">COMMON PLANT ALLOCATOR  (CE)  (Note J and X) </t>
  </si>
  <si>
    <t>% Electric</t>
  </si>
  <si>
    <t xml:space="preserve">  Electric </t>
  </si>
  <si>
    <t>200.3.c</t>
  </si>
  <si>
    <t>(line 13 / line 16)</t>
  </si>
  <si>
    <t>(line 11)</t>
  </si>
  <si>
    <t xml:space="preserve">  Gas</t>
  </si>
  <si>
    <t>201.3.d</t>
  </si>
  <si>
    <t>*</t>
  </si>
  <si>
    <t xml:space="preserve">  Water </t>
  </si>
  <si>
    <t>201.3.e</t>
  </si>
  <si>
    <t xml:space="preserve">  Total</t>
  </si>
  <si>
    <t>(Sum of Lines 13 through 15)</t>
  </si>
  <si>
    <t>RETURN (R)</t>
  </si>
  <si>
    <t>(Note V)</t>
  </si>
  <si>
    <t>Cost</t>
  </si>
  <si>
    <t>%</t>
  </si>
  <si>
    <t>Weighted</t>
  </si>
  <si>
    <t xml:space="preserve">  Long Term Debt </t>
  </si>
  <si>
    <t>(Attachment 5, line 48    Notes Q &amp; R)</t>
  </si>
  <si>
    <t>=WCLTD</t>
  </si>
  <si>
    <t xml:space="preserve">  Preferred Stock  (112.3.c)</t>
  </si>
  <si>
    <t>(Attachment 5, line 49   Notes Q &amp; R)</t>
  </si>
  <si>
    <t xml:space="preserve">  Common Stock</t>
  </si>
  <si>
    <t>(Attachment 5, line 50  Notes K, Q &amp; R)</t>
  </si>
  <si>
    <t xml:space="preserve">Total </t>
  </si>
  <si>
    <t>(Attachment 5, line 51)</t>
  </si>
  <si>
    <t>=R</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</si>
  <si>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</si>
  <si>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</si>
  <si>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</si>
  <si>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</si>
  <si>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</si>
  <si>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</si>
  <si>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39, col (a) </t>
  </si>
  <si>
    <t xml:space="preserve">  Total of (a)-(b)</t>
  </si>
  <si>
    <t xml:space="preserve">ACCOUNT 454 (RENT FROM ELECTRIC PROPERTY) </t>
  </si>
  <si>
    <t xml:space="preserve">(Note M) Attach 5, line 39, col (b) </t>
  </si>
  <si>
    <t>ACCOUNT 456.1 (OTHER ELECTRIC REVENUES)</t>
  </si>
  <si>
    <t xml:space="preserve">330.x.n </t>
  </si>
  <si>
    <t xml:space="preserve">a. Transmission charges for all transmission transactions </t>
  </si>
  <si>
    <t xml:space="preserve">Attach 5, line 39, col (c) </t>
  </si>
  <si>
    <t>b. Transmission charges associated with Project detailed on the Project Rev Req Schedule Col. 10.</t>
  </si>
  <si>
    <t xml:space="preserve">Attach 5, line 39,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</si>
  <si>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</si>
  <si>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</si>
  <si>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</si>
  <si>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</si>
  <si>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</si>
  <si>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</si>
  <si>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</si>
  <si>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</si>
  <si>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</si>
  <si>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C</t>
  </si>
  <si>
    <t>Identified in Form 1 as being only transmission related.</t>
  </si>
  <si>
    <t>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</si>
  <si>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</si>
  <si>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</si>
  <si>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</si>
  <si>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F</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</si>
  <si>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</si>
  <si>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G</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</si>
  <si>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</si>
  <si>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 xml:space="preserve">         Inputs Required:</t>
  </si>
  <si>
    <t>FIT =</t>
  </si>
  <si>
    <t>SIT=</t>
  </si>
  <si>
    <t>(State Income Tax Rate or Composite SIT)</t>
  </si>
  <si>
    <t>p =</t>
  </si>
  <si>
    <t>(percent of federal income tax deductible for state purposes)</t>
  </si>
  <si>
    <t>H</t>
  </si>
  <si>
    <t>Removes transmission plant determined by Commission order to be state-jurisdictional according to the seven-factor test (until Form 1 balances are adjusted to reflect application of seven-factor test).</t>
  </si>
  <si>
    <t>I</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</si>
  <si>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</si>
  <si>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J</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</si>
  <si>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</si>
  <si>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</si>
  <si>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</si>
  <si>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</si>
  <si>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</si>
  <si>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</si>
  <si>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</si>
  <si>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</si>
  <si>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</si>
  <si>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</si>
  <si>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</si>
  <si>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</si>
  <si>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</si>
  <si>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</si>
  <si>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R</t>
  </si>
  <si>
    <t>Calculate using 13 month average balance, except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</si>
  <si>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</si>
  <si>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</si>
  <si>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</si>
  <si>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</si>
  <si>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</si>
  <si>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</si>
  <si>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</si>
  <si>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</si>
  <si>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</si>
  <si>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</si>
  <si>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</si>
  <si>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Calculated on Attachment 4 for the true up and on Attachment 4a for the projection</t>
  </si>
  <si>
    <t>Y</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</si>
  <si>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</si>
  <si>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</si>
  <si>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Attachment 1</t>
  </si>
  <si>
    <t>Page 1 of 2</t>
  </si>
  <si>
    <t>Project Revenue Requirement Worksheet</t>
  </si>
  <si>
    <t>To be completed in conjunction with Attachment H.</t>
  </si>
  <si>
    <t>Page, Line, Col.</t>
  </si>
  <si>
    <t>Gross Transmission Plant - Total</t>
  </si>
  <si>
    <t>Attach H, p 2, line 2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</si>
  <si>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</si>
  <si>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</si>
  <si>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</si>
  <si>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</si>
  <si>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</si>
  <si>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</si>
  <si>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</si>
  <si>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</si>
  <si>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5</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</si>
  <si>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</si>
  <si>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</si>
  <si>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</si>
  <si>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</si>
  <si>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</si>
  <si>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</si>
  <si>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</si>
  <si>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</si>
  <si>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</si>
  <si>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</si>
  <si>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</si>
  <si>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</si>
  <si>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</si>
  <si>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</si>
  <si>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</si>
  <si>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</si>
  <si>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</si>
  <si>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</si>
  <si>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</si>
  <si>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Annual Allocation Factor for Expense</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</si>
  <si>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</si>
  <si>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</si>
  <si>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</si>
  <si>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</si>
  <si>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</si>
  <si>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</si>
  <si>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</si>
  <si>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</si>
  <si>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</si>
  <si>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</si>
  <si>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</si>
  <si>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</si>
  <si>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</si>
  <si>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</si>
  <si>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</si>
  <si>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Annual Allocation Factor for Return</t>
  </si>
  <si>
    <t>Sum of line 13 and 15</t>
  </si>
  <si>
    <t>Page 2 of 2</t>
  </si>
  <si>
    <t xml:space="preserve"> (12a)</t>
  </si>
  <si>
    <t>(14)</t>
  </si>
  <si>
    <t>(15)</t>
  </si>
  <si>
    <t>(16)</t>
  </si>
  <si>
    <t>Line No.</t>
  </si>
  <si>
    <t xml:space="preserve">Project Name </t>
  </si>
  <si>
    <t>RTO Project Number</t>
  </si>
  <si>
    <t xml:space="preserve">Project Gross Plant </t>
  </si>
  <si>
    <t>Annual Expense Charge</t>
  </si>
  <si>
    <t>Project Net Plant or CWIP Balance</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</si>
  <si>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</si>
  <si>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</si>
  <si>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</si>
  <si>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</si>
  <si>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</si>
  <si>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</si>
  <si>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</si>
  <si>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</si>
  <si>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</si>
  <si>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 Req</t>
  </si>
  <si>
    <t>(Note C)</t>
  </si>
  <si>
    <t>(Page 1 line 11)</t>
  </si>
  <si>
    <t>(Col. 3 * Col. 4)</t>
  </si>
  <si>
    <t>(Notes D &amp; I)</t>
  </si>
  <si>
    <t>(Page 1 line 16)</t>
  </si>
  <si>
    <t>(Col. 6 * Col. 7)</t>
  </si>
  <si>
    <t>(Notes E &amp; I)</t>
  </si>
  <si>
    <t>(Sum Col. 5, 8 &amp; 9)</t>
  </si>
  <si>
    <t>(Note K)</t>
  </si>
  <si>
    <t>(Attachment 2, Line 28 /100 * Col. 11)</t>
  </si>
  <si>
    <t>(Sum Col. 10 &amp; 12)</t>
  </si>
  <si>
    <t>(Note J)</t>
  </si>
  <si>
    <t>(Sum Col. 10 &amp; 12 Less Col. 13)</t>
  </si>
  <si>
    <t>Sum Col. 14 &amp; 15 
(Note G)</t>
  </si>
  <si>
    <t>15a</t>
  </si>
  <si>
    <t>Lake County and Porter County, Indiana Assets</t>
  </si>
  <si>
    <t>15b</t>
  </si>
  <si>
    <t>15c</t>
  </si>
  <si>
    <t>Annual Totals</t>
  </si>
  <si>
    <t>A</t>
  </si>
  <si>
    <t>Gross Transmission Plant is that identified on page 2 line 2 of Attachment H</t>
  </si>
  <si>
    <t>B</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</si>
  <si>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</si>
  <si>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</si>
  <si>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</si>
  <si>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</si>
  <si>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</si>
  <si>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</si>
  <si>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rate calculation under the applicable Schedule under the PJM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</si>
  <si>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</si>
  <si>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</si>
  <si>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</si>
  <si>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</si>
  <si>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</si>
  <si>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</si>
  <si>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</si>
  <si>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</si>
  <si>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</si>
  <si>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</si>
  <si>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Page 1 of 1</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</si>
  <si>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</si>
  <si>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</si>
  <si>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</si>
  <si>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</si>
  <si>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</si>
  <si>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</si>
  <si>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</si>
  <si>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</si>
  <si>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</si>
  <si>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</si>
  <si>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T=1 - {[(1 - SIT) * (1 - FIT)] / (1 - SIT * FIT * p)} =</t>
  </si>
  <si>
    <t xml:space="preserve">      WCLTD = Line 3</t>
  </si>
  <si>
    <t xml:space="preserve">       and FIT, SIT &amp; p are as given in footnote K.</t>
  </si>
  <si>
    <t>Amortized Investment Tax Credit (266.8f) (enter negative)</t>
  </si>
  <si>
    <t>Attachment H, Page 3, Line 37</t>
  </si>
  <si>
    <t>Excess Deferred Income Taxes (enter negative)</t>
  </si>
  <si>
    <t>Attachment H, Page 3, Line 38</t>
  </si>
  <si>
    <t>Tax Effect of Permanent Differences  (Note B)</t>
  </si>
  <si>
    <t>Attachment H, Page 3, Line 39</t>
  </si>
  <si>
    <t>Return and Income Taxes with 100 basis point increase in ROE</t>
  </si>
  <si>
    <t>(Sum lines 7 &amp; 21)</t>
  </si>
  <si>
    <t>Return    (Attach. H, page 3 line 46 col 5)</t>
  </si>
  <si>
    <t>Income Tax    (Attach. H, page 3 line 44 col 5)</t>
  </si>
  <si>
    <t>Return and Income Taxes without 100 basis point increase in ROE</t>
  </si>
  <si>
    <t>(Sum lines 23 &amp; 24)</t>
  </si>
  <si>
    <t>Incremental Return and Income Taxes for 100 basis point increase in ROE</t>
  </si>
  <si>
    <t>(Line 22 - line 25)</t>
  </si>
  <si>
    <t>Rate Base (line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</si>
  <si>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</si>
  <si>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</si>
  <si>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</si>
  <si>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</si>
  <si>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</si>
  <si>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</si>
  <si>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</si>
  <si>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</si>
  <si>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</si>
  <si>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</si>
  <si>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</si>
  <si>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</si>
  <si>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</si>
  <si>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</si>
  <si>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</si>
  <si>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</si>
  <si>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</si>
  <si>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</si>
  <si>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</si>
  <si>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</si>
  <si>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</si>
  <si>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</si>
  <si>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</si>
  <si>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</si>
  <si>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</si>
  <si>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</si>
  <si>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</si>
  <si>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</si>
  <si>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</si>
  <si>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</si>
  <si>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</si>
  <si>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</si>
  <si>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</si>
  <si>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</si>
  <si>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</si>
  <si>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</si>
  <si>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</si>
  <si>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</si>
  <si>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</si>
  <si>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</si>
  <si>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</si>
  <si>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3a</t>
  </si>
  <si>
    <t>3b</t>
  </si>
  <si>
    <t>3c</t>
  </si>
  <si>
    <t>Total Annual Revenue Requirements (Note A)</t>
  </si>
  <si>
    <t>Monthly Interest Rate</t>
  </si>
  <si>
    <t>Interest Income (Expense)</t>
  </si>
  <si>
    <t>Notes:</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</si>
  <si>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</si>
  <si>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</si>
  <si>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</si>
  <si>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</si>
  <si>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      Column D, lines 3 are sourced from the projected revenue requirement for the year at issue.</t>
  </si>
  <si>
    <t xml:space="preserve">4) Interest from Attachment 6. </t>
  </si>
  <si>
    <t>5)  Prior Period Adjustment from line 5 is pro rata  to each project, unless the error was project specific.</t>
  </si>
  <si>
    <t>Prior Period Adjustment</t>
  </si>
  <si>
    <t>(a)</t>
  </si>
  <si>
    <t>(b)</t>
  </si>
  <si>
    <t>(c)</t>
  </si>
  <si>
    <t>(d)</t>
  </si>
  <si>
    <t>(Note B)</t>
  </si>
  <si>
    <t>In Dollars</t>
  </si>
  <si>
    <t>Note B</t>
  </si>
  <si>
    <t>Col. (b) + Col.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</si>
  <si>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</si>
  <si>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</si>
  <si>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Attachment 4</t>
  </si>
  <si>
    <t xml:space="preserve">Rate Base Worksheet </t>
  </si>
  <si>
    <t>Gross Plant In Service</t>
  </si>
  <si>
    <t>CWIP</t>
  </si>
  <si>
    <t>LHFFU</t>
  </si>
  <si>
    <t>Working Capital</t>
  </si>
  <si>
    <t>Accumulated Depreciation</t>
  </si>
  <si>
    <t>Line No</t>
  </si>
  <si>
    <t>Month</t>
  </si>
  <si>
    <t>General &amp; Intangible</t>
  </si>
  <si>
    <t xml:space="preserve">CWIP in Rate Base </t>
  </si>
  <si>
    <t>Held for Future Use</t>
  </si>
  <si>
    <t xml:space="preserve">  Prepayments</t>
  </si>
  <si>
    <t>(e)</t>
  </si>
  <si>
    <t>(f)</t>
  </si>
  <si>
    <t>(g)</t>
  </si>
  <si>
    <t>(h)</t>
  </si>
  <si>
    <t>(i)</t>
  </si>
  <si>
    <t>Attachment H, Page 2, Line No:</t>
  </si>
  <si>
    <t>207.58.g for end of year, records for other months</t>
  </si>
  <si>
    <t>205.5.g &amp; 207.99.g for end of year, records for other months</t>
  </si>
  <si>
    <t>214.x.d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</si>
  <si>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</si>
  <si>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</si>
  <si>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</si>
  <si>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</si>
  <si>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</si>
  <si>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</si>
  <si>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</si>
  <si>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</si>
  <si>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</si>
  <si>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</si>
  <si>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</si>
  <si>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</si>
  <si>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</si>
  <si>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</si>
  <si>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</si>
  <si>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</si>
  <si>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</si>
  <si>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</si>
  <si>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</si>
  <si>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</si>
  <si>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</si>
  <si>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</si>
  <si>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</si>
  <si>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</si>
  <si>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</si>
  <si>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</si>
  <si>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</si>
  <si>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</si>
  <si>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</si>
  <si>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274.2.b &amp; 275.2.k</t>
  </si>
  <si>
    <t>276.9.b &amp; 277.9.k</t>
  </si>
  <si>
    <t>234.8.b &amp; c</t>
  </si>
  <si>
    <t>Consistent with 266.8.b &amp; 267.8.h</t>
  </si>
  <si>
    <t>Average of the 13 Monthly Balances</t>
  </si>
  <si>
    <t>Unfunded Reserves    (Notes G &amp; 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</si>
  <si>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</si>
  <si>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</si>
  <si>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</si>
  <si>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Enter the percentage paid for by the transmission formula customers</t>
  </si>
  <si>
    <t xml:space="preserve">Allocation (Plant or Labor Allocator) </t>
  </si>
  <si>
    <t>Amount Allocated, col. c x col. d x col. e x col. f x col. g</t>
  </si>
  <si>
    <t>30a</t>
  </si>
  <si>
    <t>Reserve 1</t>
  </si>
  <si>
    <t>30b</t>
  </si>
  <si>
    <t>Reserve 2</t>
  </si>
  <si>
    <t>30c</t>
  </si>
  <si>
    <t>Reserve 3</t>
  </si>
  <si>
    <t>30d</t>
  </si>
  <si>
    <t>Reserve 4</t>
  </si>
  <si>
    <t>30e</t>
  </si>
  <si>
    <t>…</t>
  </si>
  <si>
    <t>30f</t>
  </si>
  <si>
    <t>Recovery of regulatory asset is limited to any regulatory assets authorized by FERC.</t>
  </si>
  <si>
    <t>Recovery of abandoned plant is limited to any abandoned plant recovery authorized by FERC.</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</si>
  <si>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</si>
  <si>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</si>
  <si>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</si>
  <si>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ADIT and Accumulated Deferred Income Tax Credits are computed using the average of the beginning of the year and the end of the year balances. The projection will use line 108 of Attachment 4a to populate the average ADIT balance on line 28 above.</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</si>
  <si>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</si>
  <si>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</si>
  <si>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</si>
  <si>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4a - Accumulated Deferred Income Taxes</t>
  </si>
  <si>
    <t>Year Ended December 31, 2020</t>
  </si>
  <si>
    <t>Rate Year =</t>
  </si>
  <si>
    <t>Actual 2020</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</si>
  <si>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</si>
  <si>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</si>
  <si>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</si>
  <si>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</si>
  <si>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</si>
  <si>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</si>
  <si>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</si>
  <si>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</si>
  <si>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</si>
  <si>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</si>
  <si>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</si>
  <si>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March</t>
  </si>
  <si>
    <t>August</t>
  </si>
  <si>
    <t>December</t>
  </si>
  <si>
    <t>Beginning Balance</t>
  </si>
  <si>
    <t>234.8.b</t>
  </si>
  <si>
    <t>Less non Prorated Items</t>
  </si>
  <si>
    <t>Beginning Balance of Prorated items</t>
  </si>
  <si>
    <t>Ending Balance</t>
  </si>
  <si>
    <t>234.8.c</t>
  </si>
  <si>
    <t>Ending Balance of Prorated items</t>
  </si>
  <si>
    <t>Average Balance</t>
  </si>
  <si>
    <t>Less FASB 106 &amp; 109 Items</t>
  </si>
  <si>
    <t>Attachment H, Footnote B</t>
  </si>
  <si>
    <t>Amount for Attachment 4</t>
  </si>
  <si>
    <t>Account 281</t>
  </si>
  <si>
    <t>274.b</t>
  </si>
  <si>
    <t>275.k</t>
  </si>
  <si>
    <t>Account 282</t>
  </si>
  <si>
    <t xml:space="preserve">Less non Prorated Items </t>
  </si>
  <si>
    <t>Account 283</t>
  </si>
  <si>
    <t>276.b</t>
  </si>
  <si>
    <t>277.k</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</si>
  <si>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</si>
  <si>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</si>
  <si>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</si>
  <si>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</si>
  <si>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</si>
  <si>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</si>
  <si>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</si>
  <si>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</si>
  <si>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</si>
  <si>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</si>
  <si>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</si>
  <si>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</si>
  <si>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</si>
  <si>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</si>
  <si>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</si>
  <si>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</si>
  <si>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</si>
  <si>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</si>
  <si>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</si>
  <si>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</si>
  <si>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</si>
  <si>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</si>
  <si>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</si>
  <si>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</si>
  <si>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</si>
  <si>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</si>
  <si>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</si>
  <si>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</si>
  <si>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4</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</si>
  <si>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</si>
  <si>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</si>
  <si>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</si>
  <si>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</si>
  <si>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</si>
  <si>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</si>
  <si>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</si>
  <si>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</si>
  <si>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</si>
  <si>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</si>
  <si>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</si>
  <si>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</si>
  <si>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</si>
  <si>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</si>
  <si>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</si>
  <si>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</si>
  <si>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</si>
  <si>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</si>
  <si>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</si>
  <si>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</si>
  <si>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</si>
  <si>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</si>
  <si>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</si>
  <si>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</si>
  <si>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</si>
  <si>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</si>
  <si>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</si>
  <si>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</si>
  <si>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</si>
  <si>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</si>
  <si>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</si>
  <si>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</si>
  <si>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</si>
  <si>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</si>
  <si>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</si>
  <si>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</si>
  <si>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 Note A)</t>
  </si>
  <si>
    <t>Preferred Dividends (118.29c) (positive number)</t>
  </si>
  <si>
    <t>Proprietary Capital (112.16.c)</t>
  </si>
  <si>
    <t xml:space="preserve">Less Preferred Stock (line 49) </t>
  </si>
  <si>
    <t>Less Account 216.1 (112.12.c)  (enter negative)</t>
  </si>
  <si>
    <t>Common Stock</t>
  </si>
  <si>
    <t>(sum lines 41-43)</t>
  </si>
  <si>
    <t>Note A</t>
  </si>
  <si>
    <t xml:space="preserve">Note C  </t>
  </si>
  <si>
    <t>(Sum of Lines 48-50)</t>
  </si>
  <si>
    <t>Note:</t>
  </si>
  <si>
    <t>Long Term Debt balance will reflect the 13 month average of the balances, of which the 1st and 13th are found on page 112 lines 18.c &amp; d to 21.c &amp; d in the Form No. 1.  The cost is calculated by dividing line 42 by the Long Term Debt balance in line 48.</t>
  </si>
  <si>
    <t>In the event there is a construction loan, line 42 will also include the interest and line 48 will also include the outstanding amounts associated with any short term construction financing, prior to the issuance of long term debt.</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</si>
  <si>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</si>
  <si>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</si>
  <si>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Attachment 6</t>
  </si>
  <si>
    <t>True-Up Interest Rate</t>
  </si>
  <si>
    <t>[A]</t>
  </si>
  <si>
    <t>[B]</t>
  </si>
  <si>
    <t>[C]</t>
  </si>
  <si>
    <t>[D]</t>
  </si>
  <si>
    <t>Quarter (Note A)</t>
  </si>
  <si>
    <t>FERC Quarterly Interest Rate</t>
  </si>
  <si>
    <t>Short Term Debt Rate</t>
  </si>
  <si>
    <t>Rate for Surcharges (Note A (3))</t>
  </si>
  <si>
    <t>Rate for Refunds (column A)</t>
  </si>
  <si>
    <t>1st Qtr</t>
  </si>
  <si>
    <t xml:space="preserve">2nd Qtr </t>
  </si>
  <si>
    <t xml:space="preserve">3rd Qtr </t>
  </si>
  <si>
    <t>4th Qtr.</t>
  </si>
  <si>
    <t xml:space="preserve">1st Qtr </t>
  </si>
  <si>
    <t xml:space="preserve">Average of lines 1-7 above </t>
  </si>
  <si>
    <t>Note A:</t>
  </si>
  <si>
    <t>(1) The FERC Quarterly Interest Rate in column [A] is the interest applicable to the quarter indicated.</t>
  </si>
  <si>
    <t>(2) The Short Term Debt Rate in column [B] is the weighted average Short Term Debt cost applicable to the quarter indicated.</t>
  </si>
  <si>
    <t>(3) The Rate for Surcharges is the lesser of Column A or B if short term debt is issued in the quarter and Column A if there is no short term debt issued in a quarter</t>
  </si>
  <si>
    <t>Year</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</si>
  <si>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</si>
  <si>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</si>
  <si>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</si>
  <si>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</si>
  <si>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</si>
  <si>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</si>
  <si>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</si>
  <si>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</si>
  <si>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Attachment 7</t>
  </si>
  <si>
    <t>PBOPs</t>
  </si>
  <si>
    <t>Calculation of PBOP Expenses</t>
  </si>
  <si>
    <t>NextEra</t>
  </si>
  <si>
    <t>Total PBOP expenses (Note A)</t>
  </si>
  <si>
    <t>Labor dollars (total labor under PBOP Plan, Note A)</t>
  </si>
  <si>
    <t>Cost per labor dollar (line2 / line3)</t>
  </si>
  <si>
    <t>labor expensed (labor not capitalized) in current year, 354.28.b.</t>
  </si>
  <si>
    <t>PBOP Expense for current year</t>
  </si>
  <si>
    <t>(line 4 * line 5)</t>
  </si>
  <si>
    <t xml:space="preserve">Lines 2-3 cannot change absent approval or acceptance by FERC in a separate proceeding. </t>
  </si>
  <si>
    <t>PBOP amount included in Company's O&amp;M and A&amp;G expenses included in FERC Account Nos. 500-935</t>
  </si>
  <si>
    <t>The source of the amounts from the Actuary Study supporting the numbers in Line 2 and 3 is -</t>
  </si>
  <si>
    <t>Attachment 8</t>
  </si>
  <si>
    <t>Depreciation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</si>
  <si>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</si>
  <si>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</si>
  <si>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</si>
  <si>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</si>
  <si>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</si>
  <si>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</si>
  <si>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</si>
  <si>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</si>
  <si>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</si>
  <si>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</si>
  <si>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</si>
  <si>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</si>
  <si>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</si>
  <si>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</si>
  <si>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</si>
  <si>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</si>
  <si>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</si>
  <si>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</si>
  <si>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</si>
  <si>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</si>
  <si>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</si>
  <si>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</si>
  <si>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</si>
  <si>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</si>
  <si>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</si>
  <si>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</si>
  <si>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</si>
  <si>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</si>
  <si>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</si>
  <si>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</si>
  <si>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</si>
  <si>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</si>
  <si>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</si>
  <si>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</si>
  <si>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</si>
  <si>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</si>
  <si>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</si>
  <si>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</si>
  <si>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</si>
  <si>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</si>
  <si>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</si>
  <si>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</si>
  <si>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</si>
  <si>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</si>
  <si>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</si>
  <si>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</si>
  <si>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</si>
  <si>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</si>
  <si>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</si>
  <si>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</si>
  <si>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</si>
  <si>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</si>
  <si>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</si>
  <si>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</si>
  <si>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</si>
  <si>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</si>
  <si>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</si>
  <si>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4"/>
        <color indexed="8"/>
        <rFont val="Arial Narrow"/>
        <family val="2"/>
      </rPr>
      <t>These depreciation rates will not change absent the appropriate filing at FERC.</t>
    </r>
    <r>
      <rPr>
        <sz val="14"/>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</si>
</sst>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00000"/>
    <numFmt numFmtId="167" formatCode="&quot;$&quot;#,##0"/>
    <numFmt numFmtId="168" formatCode="#,##0.000"/>
    <numFmt numFmtId="169" formatCode="&quot;$&quot;#,##0.000"/>
    <numFmt numFmtId="170" formatCode="0.0000"/>
    <numFmt numFmtId="171" formatCode="#,##0.00000"/>
    <numFmt numFmtId="172" formatCode="0.000%"/>
    <numFmt numFmtId="173" formatCode="_(* #,##0.00000_);_(* \(#,##0.00000\);_(* &quot;-&quot;??_);_(@_)"/>
    <numFmt numFmtId="174" formatCode="#,##0.0"/>
    <numFmt numFmtId="175" formatCode="_(* #,##0.0000_);_(* \(#,##0.0000\);_(* &quot;-&quot;??_);_(@_)"/>
    <numFmt numFmtId="176" formatCode="#,##0.0000"/>
    <numFmt numFmtId="177" formatCode="_(* #,##0.0_);_(* \(#,##0.0\);_(* &quot;-&quot;??_);_(@_)"/>
    <numFmt numFmtId="178" formatCode="_(* #,##0.0000000_);_(* \(#,##0.0000000\);_(* &quot;-&quot;??_);_(@_)"/>
    <numFmt numFmtId="179" formatCode="_(* #,##0.000000_);_(* \(#,##0.000000\);_(* &quot;-&quot;??_);_(@_)"/>
    <numFmt numFmtId="180" formatCode="0_);\(0\)"/>
    <numFmt numFmtId="181" formatCode="_(&quot;$&quot;* #,##0_);_(&quot;$&quot;* \(#,##0\);_(&quot;$&quot;* &quot;-&quot;??_);_(@_)"/>
    <numFmt numFmtId="182" formatCode="_(* #,##0.000_);_(* \(#,##0.000\);_(* &quot;-&quot;??_);_(@_)"/>
    <numFmt numFmtId="183" formatCode="0.0000%"/>
    <numFmt numFmtId="184" formatCode="_(* #,##0.00000_);_(* \(#,##0.00000\);_(* &quot;-&quot;?????_);_(@_)"/>
  </numFmts>
  <fonts count="48">
    <font>
      <sz val="12"/>
      <name val="Arial MT"/>
    </font>
    <font>
      <sz val="11"/>
      <color theme="1"/>
      <name val="Calibri"/>
      <family val="2"/>
      <scheme val="minor"/>
    </font>
    <font>
      <sz val="10"/>
      <name val="Arial"/>
      <family val="2"/>
    </font>
    <font>
      <sz val="10"/>
      <name val="Times New Roman"/>
      <family val="1"/>
    </font>
    <font>
      <sz val="12"/>
      <name val="Arial MT"/>
    </font>
    <font>
      <sz val="10"/>
      <color rgb="FFFF0000"/>
      <name val="Times New Roman"/>
      <family val="1"/>
    </font>
    <font>
      <b/>
      <i/>
      <strike/>
      <sz val="10"/>
      <name val="Times New Roman"/>
      <family val="1"/>
    </font>
    <font>
      <b/>
      <sz val="12"/>
      <name val="Times New Roman"/>
      <family val="1"/>
    </font>
    <font>
      <sz val="10"/>
      <color indexed="10"/>
      <name val="Times New Roman"/>
      <family val="1"/>
    </font>
    <font>
      <strike/>
      <sz val="10"/>
      <name val="Times New Roman"/>
      <family val="1"/>
    </font>
    <font>
      <b/>
      <sz val="10"/>
      <name val="Times New Roman"/>
      <family val="1"/>
    </font>
    <font>
      <sz val="10"/>
      <color indexed="40"/>
      <name val="Times New Roman"/>
      <family val="1"/>
    </font>
    <font>
      <strike/>
      <sz val="10"/>
      <color indexed="10"/>
      <name val="Times New Roman"/>
      <family val="1"/>
    </font>
    <font>
      <sz val="11"/>
      <name val="Calibri"/>
      <family val="2"/>
    </font>
    <font>
      <sz val="10"/>
      <color indexed="17"/>
      <name val="Times New Roman"/>
      <family val="1"/>
    </font>
    <font>
      <b/>
      <u/>
      <sz val="10"/>
      <name val="Times New Roman"/>
      <family val="1"/>
    </font>
    <font>
      <sz val="10"/>
      <color indexed="8"/>
      <name val="Times New Roman"/>
      <family val="1"/>
    </font>
    <font>
      <sz val="12"/>
      <name val="Times New Roman"/>
      <family val="1"/>
    </font>
    <font>
      <sz val="12"/>
      <name val="Arial"/>
      <family val="2"/>
    </font>
    <font>
      <sz val="10"/>
      <name val="Arial Narrow"/>
      <family val="2"/>
    </font>
    <font>
      <vertAlign val="superscript"/>
      <sz val="10"/>
      <color theme="1"/>
      <name val="Times New Roman"/>
      <family val="1"/>
    </font>
    <font>
      <vertAlign val="superscript"/>
      <sz val="10"/>
      <name val="Times New Roman"/>
      <family val="1"/>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sz val="11"/>
      <color indexed="8"/>
      <name val="Calibri"/>
      <family val="2"/>
    </font>
    <font>
      <b/>
      <sz val="12"/>
      <color rgb="FFFF0000"/>
      <name val="Times New Roman"/>
      <family val="1"/>
    </font>
    <font>
      <strike/>
      <sz val="10"/>
      <color indexed="12"/>
      <name val="Times New Roman"/>
      <family val="1"/>
    </font>
    <font>
      <sz val="11"/>
      <color indexed="8"/>
      <name val="Arial Narrow"/>
      <family val="2"/>
    </font>
    <font>
      <u/>
      <sz val="12"/>
      <name val="Arial"/>
      <family val="2"/>
    </font>
    <font>
      <b/>
      <sz val="12"/>
      <name val="Arial"/>
      <family val="2"/>
    </font>
    <font>
      <sz val="10"/>
      <color indexed="8"/>
      <name val="Arial"/>
      <family val="2"/>
    </font>
    <font>
      <sz val="10"/>
      <color rgb="FF0000FF"/>
      <name val="Arial"/>
      <family val="2"/>
    </font>
    <font>
      <sz val="11"/>
      <color indexed="8"/>
      <name val="Arial"/>
      <family val="2"/>
    </font>
    <font>
      <sz val="12"/>
      <color indexed="10"/>
      <name val="Arial MT"/>
    </font>
    <font>
      <b/>
      <u/>
      <sz val="10"/>
      <name val="Arial"/>
      <family val="2"/>
    </font>
    <font>
      <sz val="11"/>
      <name val="Times New Roman"/>
      <family val="1"/>
    </font>
    <font>
      <b/>
      <sz val="10"/>
      <name val="Arial"/>
      <family val="2"/>
    </font>
    <font>
      <sz val="12"/>
      <name val="Arial Narrow"/>
      <family val="2"/>
    </font>
    <font>
      <sz val="12"/>
      <color indexed="8"/>
      <name val="Arial Narrow"/>
      <family val="2"/>
    </font>
    <font>
      <b/>
      <sz val="12"/>
      <name val="Arial Narrow"/>
      <family val="2"/>
    </font>
    <font>
      <b/>
      <sz val="12"/>
      <color indexed="8"/>
      <name val="Arial Narrow"/>
      <family val="2"/>
    </font>
    <font>
      <sz val="14"/>
      <name val="Arial Narrow"/>
      <family val="2"/>
    </font>
    <font>
      <sz val="14"/>
      <color indexed="8"/>
      <name val="Arial Narrow"/>
      <family val="2"/>
    </font>
    <font>
      <sz val="14"/>
      <name val="Arial"/>
      <family val="2"/>
    </font>
    <font>
      <sz val="14"/>
      <name val="Times New Roman"/>
      <family val="1"/>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00FF"/>
        <bgColor indexed="64"/>
      </patternFill>
    </fill>
    <fill>
      <patternFill patternType="solid">
        <fgColor theme="1"/>
        <bgColor indexed="64"/>
      </patternFill>
    </fill>
  </fills>
  <borders count="20">
    <border>
      <left/>
      <right/>
      <top/>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s>
  <cellStyleXfs count="23">
    <xf numFmtId="164" fontId="0"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164" fontId="4" fillId="0" borderId="0" applyProtection="0"/>
    <xf numFmtId="164" fontId="4" fillId="0" borderId="0" applyProtection="0"/>
    <xf numFmtId="0" fontId="4" fillId="0" borderId="0" applyProtection="0"/>
    <xf numFmtId="0" fontId="1" fillId="0" borderId="0"/>
    <xf numFmtId="164" fontId="4" fillId="0" borderId="0" applyProtection="0"/>
    <xf numFmtId="164" fontId="4" fillId="0" borderId="0" applyProtection="0"/>
    <xf numFmtId="0" fontId="2" fillId="0" borderId="0"/>
    <xf numFmtId="0" fontId="2" fillId="0" borderId="0"/>
    <xf numFmtId="0" fontId="2" fillId="0" borderId="0"/>
    <xf numFmtId="164" fontId="4" fillId="0" borderId="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0" fontId="30" fillId="0" borderId="0"/>
    <xf numFmtId="0" fontId="38" fillId="0" borderId="0"/>
    <xf numFmtId="0" fontId="1" fillId="0" borderId="0"/>
  </cellStyleXfs>
  <cellXfs count="570">
    <xf numFmtId="164" fontId="0" fillId="0" borderId="0" xfId="0"/>
    <xf numFmtId="0" fontId="3" fillId="0" borderId="0" xfId="4" applyFont="1"/>
    <xf numFmtId="0" fontId="3" fillId="0" borderId="0" xfId="4" applyFont="1" applyAlignment="1">
      <alignment horizontal="right"/>
    </xf>
    <xf numFmtId="164" fontId="3" fillId="0" borderId="0" xfId="0" applyFont="1"/>
    <xf numFmtId="164" fontId="3" fillId="0" borderId="0" xfId="5" applyFont="1"/>
    <xf numFmtId="0" fontId="3" fillId="0" borderId="0" xfId="5" applyNumberFormat="1" applyFont="1" applyProtection="1">
      <protection locked="0"/>
    </xf>
    <xf numFmtId="164" fontId="3" fillId="0" borderId="0" xfId="0" applyFont="1" applyAlignment="1">
      <alignment horizontal="left" vertical="center"/>
    </xf>
    <xf numFmtId="0" fontId="3" fillId="0" borderId="0" xfId="5" applyNumberFormat="1" applyFont="1" applyAlignment="1" applyProtection="1">
      <alignment horizontal="center"/>
      <protection locked="0"/>
    </xf>
    <xf numFmtId="0" fontId="3" fillId="2" borderId="0" xfId="4" applyFont="1" applyFill="1"/>
    <xf numFmtId="0" fontId="3" fillId="2" borderId="0" xfId="5" applyNumberFormat="1" applyFont="1" applyFill="1"/>
    <xf numFmtId="0" fontId="3" fillId="2" borderId="0" xfId="6" applyNumberFormat="1" applyFont="1" applyFill="1" applyAlignment="1">
      <alignment horizontal="right"/>
    </xf>
    <xf numFmtId="3" fontId="3" fillId="0" borderId="0" xfId="5" applyNumberFormat="1" applyFont="1"/>
    <xf numFmtId="3" fontId="3" fillId="0" borderId="0" xfId="5" applyNumberFormat="1" applyFont="1" applyAlignment="1">
      <alignment horizontal="center"/>
    </xf>
    <xf numFmtId="0" fontId="3" fillId="0" borderId="0" xfId="5" applyNumberFormat="1" applyFont="1"/>
    <xf numFmtId="0" fontId="6" fillId="0" borderId="0" xfId="5" applyNumberFormat="1" applyFont="1"/>
    <xf numFmtId="164" fontId="7" fillId="0" borderId="0" xfId="0" applyFont="1" applyAlignment="1">
      <alignment horizontal="center" vertical="center"/>
    </xf>
    <xf numFmtId="49" fontId="3" fillId="0" borderId="0" xfId="5" applyNumberFormat="1" applyFont="1"/>
    <xf numFmtId="49" fontId="3" fillId="0" borderId="0" xfId="5" applyNumberFormat="1" applyFont="1" applyAlignment="1">
      <alignment horizontal="center"/>
    </xf>
    <xf numFmtId="0" fontId="3" fillId="0" borderId="0" xfId="5" applyNumberFormat="1" applyFont="1" applyAlignment="1">
      <alignment horizontal="center"/>
    </xf>
    <xf numFmtId="0" fontId="3" fillId="0" borderId="1" xfId="5" applyNumberFormat="1" applyFont="1" applyBorder="1" applyAlignment="1" applyProtection="1">
      <alignment horizontal="center"/>
      <protection locked="0"/>
    </xf>
    <xf numFmtId="42" fontId="3" fillId="0" borderId="0" xfId="4" applyNumberFormat="1" applyFont="1"/>
    <xf numFmtId="0" fontId="3" fillId="0" borderId="1" xfId="5" applyNumberFormat="1" applyFont="1" applyBorder="1" applyAlignment="1" applyProtection="1">
      <alignment horizontal="centerContinuous"/>
      <protection locked="0"/>
    </xf>
    <xf numFmtId="43" fontId="3" fillId="0" borderId="0" xfId="1" applyFont="1"/>
    <xf numFmtId="3" fontId="3" fillId="0" borderId="0" xfId="4" applyNumberFormat="1" applyFont="1"/>
    <xf numFmtId="3" fontId="3" fillId="0" borderId="0" xfId="5" applyNumberFormat="1" applyFont="1" applyAlignment="1">
      <alignment horizontal="left"/>
    </xf>
    <xf numFmtId="165" fontId="3" fillId="0" borderId="0" xfId="1" applyNumberFormat="1" applyFont="1"/>
    <xf numFmtId="43" fontId="3" fillId="0" borderId="1" xfId="1" applyFont="1" applyBorder="1"/>
    <xf numFmtId="43" fontId="3" fillId="0" borderId="0" xfId="1" applyFont="1" applyAlignment="1">
      <alignment horizontal="fill"/>
    </xf>
    <xf numFmtId="166" fontId="3" fillId="0" borderId="0" xfId="4" applyNumberFormat="1" applyFont="1"/>
    <xf numFmtId="166" fontId="3" fillId="0" borderId="0" xfId="5" applyNumberFormat="1" applyFont="1"/>
    <xf numFmtId="3" fontId="3" fillId="0" borderId="0" xfId="5" applyNumberFormat="1" applyFont="1" applyAlignment="1">
      <alignment horizontal="fill"/>
    </xf>
    <xf numFmtId="42" fontId="3" fillId="0" borderId="2" xfId="5" applyNumberFormat="1" applyFont="1" applyBorder="1" applyAlignment="1" applyProtection="1">
      <alignment horizontal="right"/>
      <protection locked="0"/>
    </xf>
    <xf numFmtId="167" fontId="8" fillId="0" borderId="0" xfId="0" applyNumberFormat="1" applyFont="1"/>
    <xf numFmtId="164" fontId="8" fillId="0" borderId="0" xfId="0" applyFont="1"/>
    <xf numFmtId="0" fontId="3" fillId="0" borderId="0" xfId="7" applyFont="1" applyAlignment="1" applyProtection="1">
      <alignment horizontal="center"/>
      <protection locked="0"/>
    </xf>
    <xf numFmtId="0" fontId="3" fillId="0" borderId="0" xfId="7" applyFont="1"/>
    <xf numFmtId="0" fontId="3" fillId="0" borderId="0" xfId="7" applyFont="1" applyAlignment="1">
      <alignment horizontal="left"/>
    </xf>
    <xf numFmtId="166" fontId="3" fillId="0" borderId="0" xfId="7" applyNumberFormat="1" applyFont="1"/>
    <xf numFmtId="3" fontId="3" fillId="0" borderId="0" xfId="7" applyNumberFormat="1" applyFont="1"/>
    <xf numFmtId="42" fontId="3" fillId="0" borderId="2" xfId="7" applyNumberFormat="1" applyFont="1" applyBorder="1" applyAlignment="1" applyProtection="1">
      <alignment horizontal="right"/>
      <protection locked="0"/>
    </xf>
    <xf numFmtId="168" fontId="3" fillId="0" borderId="0" xfId="4" applyNumberFormat="1" applyFont="1"/>
    <xf numFmtId="168" fontId="3" fillId="0" borderId="0" xfId="5" applyNumberFormat="1" applyFont="1"/>
    <xf numFmtId="168" fontId="3" fillId="0" borderId="0" xfId="5" applyNumberFormat="1" applyFont="1" applyAlignment="1">
      <alignment horizontal="center"/>
    </xf>
    <xf numFmtId="164" fontId="3" fillId="0" borderId="0" xfId="5" applyFont="1" applyAlignment="1">
      <alignment horizontal="center"/>
    </xf>
    <xf numFmtId="0" fontId="3" fillId="0" borderId="0" xfId="5" applyNumberFormat="1" applyFont="1" applyAlignment="1">
      <alignment horizontal="left"/>
    </xf>
    <xf numFmtId="169" fontId="3" fillId="0" borderId="0" xfId="4" applyNumberFormat="1" applyFont="1"/>
    <xf numFmtId="169" fontId="3" fillId="0" borderId="0" xfId="5" applyNumberFormat="1" applyFont="1" applyProtection="1">
      <protection locked="0"/>
    </xf>
    <xf numFmtId="170" fontId="3" fillId="0" borderId="0" xfId="5" applyNumberFormat="1" applyFont="1"/>
    <xf numFmtId="0" fontId="3" fillId="0" borderId="0" xfId="5" applyNumberFormat="1" applyFont="1" applyAlignment="1">
      <alignment horizontal="right"/>
    </xf>
    <xf numFmtId="0" fontId="9" fillId="0" borderId="0" xfId="5" applyNumberFormat="1" applyFont="1"/>
    <xf numFmtId="164" fontId="3" fillId="0" borderId="0" xfId="0" applyFont="1" applyAlignment="1">
      <alignment horizontal="center" vertical="center"/>
    </xf>
    <xf numFmtId="164" fontId="3" fillId="0" borderId="0" xfId="5" applyFont="1" applyAlignment="1">
      <alignment horizontal="center"/>
    </xf>
    <xf numFmtId="3" fontId="10" fillId="0" borderId="0" xfId="5" applyNumberFormat="1" applyFont="1" applyAlignment="1">
      <alignment horizontal="center"/>
    </xf>
    <xf numFmtId="0" fontId="10" fillId="0" borderId="0" xfId="5" applyNumberFormat="1" applyFont="1" applyAlignment="1" applyProtection="1">
      <alignment horizontal="center"/>
      <protection locked="0"/>
    </xf>
    <xf numFmtId="164" fontId="10" fillId="0" borderId="0" xfId="5" applyFont="1" applyAlignment="1">
      <alignment horizontal="center"/>
    </xf>
    <xf numFmtId="3" fontId="10" fillId="0" borderId="0" xfId="5" applyNumberFormat="1" applyFont="1"/>
    <xf numFmtId="0" fontId="10" fillId="0" borderId="0" xfId="5" applyNumberFormat="1" applyFont="1"/>
    <xf numFmtId="165" fontId="3" fillId="2" borderId="0" xfId="1" applyNumberFormat="1" applyFont="1" applyFill="1"/>
    <xf numFmtId="171" fontId="3" fillId="0" borderId="0" xfId="5" applyNumberFormat="1" applyFont="1"/>
    <xf numFmtId="165" fontId="3" fillId="2" borderId="1" xfId="1" applyNumberFormat="1" applyFont="1" applyFill="1" applyBorder="1"/>
    <xf numFmtId="165" fontId="3" fillId="0" borderId="1" xfId="1" applyNumberFormat="1" applyFont="1" applyBorder="1"/>
    <xf numFmtId="43" fontId="3" fillId="0" borderId="0" xfId="1" applyFont="1" applyAlignment="1">
      <alignment horizontal="center"/>
    </xf>
    <xf numFmtId="172" fontId="3" fillId="0" borderId="0" xfId="5" applyNumberFormat="1" applyFont="1" applyAlignment="1">
      <alignment horizontal="center"/>
    </xf>
    <xf numFmtId="171" fontId="3" fillId="0" borderId="0" xfId="4" applyNumberFormat="1" applyFont="1" applyAlignment="1">
      <alignment horizontal="right"/>
    </xf>
    <xf numFmtId="173" fontId="3" fillId="0" borderId="0" xfId="1" applyNumberFormat="1" applyFont="1"/>
    <xf numFmtId="3" fontId="3" fillId="0" borderId="0" xfId="5" quotePrefix="1" applyNumberFormat="1" applyFont="1" applyAlignment="1">
      <alignment horizontal="left"/>
    </xf>
    <xf numFmtId="165" fontId="3" fillId="0" borderId="2" xfId="1" applyNumberFormat="1" applyFont="1" applyBorder="1"/>
    <xf numFmtId="172" fontId="3" fillId="0" borderId="0" xfId="4" applyNumberFormat="1" applyFont="1" applyAlignment="1">
      <alignment horizontal="center"/>
    </xf>
    <xf numFmtId="3" fontId="3" fillId="0" borderId="0" xfId="5" applyNumberFormat="1" applyFont="1" applyAlignment="1">
      <alignment horizontal="right"/>
    </xf>
    <xf numFmtId="49" fontId="3" fillId="0" borderId="0" xfId="5" applyNumberFormat="1" applyFont="1" applyAlignment="1" applyProtection="1">
      <alignment horizontal="center"/>
      <protection locked="0"/>
    </xf>
    <xf numFmtId="165" fontId="3" fillId="0" borderId="0" xfId="1" applyNumberFormat="1" applyFont="1" applyAlignment="1">
      <alignment horizontal="right"/>
    </xf>
    <xf numFmtId="3" fontId="11" fillId="0" borderId="0" xfId="5" applyNumberFormat="1" applyFont="1"/>
    <xf numFmtId="164" fontId="11" fillId="0" borderId="0" xfId="0" applyFont="1"/>
    <xf numFmtId="174" fontId="3" fillId="0" borderId="0" xfId="5" applyNumberFormat="1" applyFont="1" applyAlignment="1">
      <alignment horizontal="left"/>
    </xf>
    <xf numFmtId="165" fontId="3" fillId="3" borderId="0" xfId="1" applyNumberFormat="1" applyFont="1" applyFill="1"/>
    <xf numFmtId="175" fontId="3" fillId="0" borderId="0" xfId="1" applyNumberFormat="1" applyFont="1"/>
    <xf numFmtId="0" fontId="3" fillId="0" borderId="0" xfId="5" applyNumberFormat="1" applyFont="1" applyAlignment="1">
      <alignment wrapText="1"/>
    </xf>
    <xf numFmtId="3" fontId="3" fillId="0" borderId="0" xfId="5" applyNumberFormat="1" applyFont="1" applyAlignment="1">
      <alignment wrapText="1"/>
    </xf>
    <xf numFmtId="0" fontId="3" fillId="0" borderId="0" xfId="5" quotePrefix="1" applyNumberFormat="1" applyFont="1" applyAlignment="1">
      <alignment horizontal="left"/>
    </xf>
    <xf numFmtId="166" fontId="3" fillId="0" borderId="0" xfId="5" applyNumberFormat="1" applyFont="1" applyAlignment="1">
      <alignment horizontal="center"/>
    </xf>
    <xf numFmtId="172" fontId="3" fillId="0" borderId="0" xfId="5" applyNumberFormat="1" applyFont="1" applyAlignment="1">
      <alignment horizontal="left"/>
    </xf>
    <xf numFmtId="43" fontId="3" fillId="0" borderId="0" xfId="1" applyFont="1" applyAlignment="1">
      <alignment horizontal="right"/>
    </xf>
    <xf numFmtId="10" fontId="3" fillId="0" borderId="0" xfId="5" applyNumberFormat="1" applyFont="1" applyAlignment="1">
      <alignment horizontal="left"/>
    </xf>
    <xf numFmtId="165" fontId="3" fillId="0" borderId="1" xfId="1" applyNumberFormat="1" applyFont="1" applyBorder="1" applyAlignment="1">
      <alignment horizontal="right"/>
    </xf>
    <xf numFmtId="172" fontId="3" fillId="0" borderId="0" xfId="5" applyNumberFormat="1" applyFont="1" applyAlignment="1" applyProtection="1">
      <alignment horizontal="left"/>
      <protection locked="0"/>
    </xf>
    <xf numFmtId="176" fontId="3" fillId="0" borderId="0" xfId="5" applyNumberFormat="1" applyFont="1"/>
    <xf numFmtId="166" fontId="3" fillId="0" borderId="0" xfId="4" applyNumberFormat="1" applyFont="1" applyAlignment="1">
      <alignment horizontal="center"/>
    </xf>
    <xf numFmtId="165" fontId="3" fillId="0" borderId="3" xfId="1" applyNumberFormat="1" applyFont="1" applyBorder="1"/>
    <xf numFmtId="164" fontId="3" fillId="0" borderId="0" xfId="5" applyFont="1" applyAlignment="1">
      <alignment horizontal="right"/>
    </xf>
    <xf numFmtId="0" fontId="11" fillId="0" borderId="0" xfId="5" applyNumberFormat="1" applyFont="1" applyAlignment="1" applyProtection="1">
      <alignment horizontal="center"/>
      <protection locked="0"/>
    </xf>
    <xf numFmtId="0" fontId="3" fillId="0" borderId="1" xfId="5" applyNumberFormat="1" applyFont="1" applyBorder="1" applyProtection="1">
      <protection locked="0"/>
    </xf>
    <xf numFmtId="0" fontId="3" fillId="0" borderId="1" xfId="5" applyNumberFormat="1" applyFont="1" applyBorder="1"/>
    <xf numFmtId="175" fontId="3" fillId="0" borderId="0" xfId="1" applyNumberFormat="1" applyFont="1" applyAlignment="1">
      <alignment horizontal="right"/>
    </xf>
    <xf numFmtId="3" fontId="3" fillId="0" borderId="1" xfId="5" applyNumberFormat="1" applyFont="1" applyBorder="1"/>
    <xf numFmtId="3" fontId="3" fillId="0" borderId="1" xfId="5" applyNumberFormat="1" applyFont="1" applyBorder="1" applyAlignment="1">
      <alignment horizontal="center"/>
    </xf>
    <xf numFmtId="4" fontId="3" fillId="0" borderId="0" xfId="5" applyNumberFormat="1" applyFont="1"/>
    <xf numFmtId="3" fontId="3" fillId="0" borderId="0" xfId="4" applyNumberFormat="1" applyFont="1" applyAlignment="1">
      <alignment horizontal="center"/>
    </xf>
    <xf numFmtId="0" fontId="3" fillId="0" borderId="1" xfId="4" applyFont="1" applyBorder="1" applyAlignment="1">
      <alignment horizontal="center"/>
    </xf>
    <xf numFmtId="0" fontId="3" fillId="0" borderId="0" xfId="4" applyFont="1" applyAlignment="1">
      <alignment horizontal="center"/>
    </xf>
    <xf numFmtId="166" fontId="3" fillId="0" borderId="0" xfId="5" applyNumberFormat="1" applyFont="1" applyAlignment="1" applyProtection="1">
      <alignment horizontal="center"/>
      <protection locked="0"/>
    </xf>
    <xf numFmtId="173" fontId="3" fillId="0" borderId="0" xfId="1" applyNumberFormat="1" applyFont="1" applyAlignment="1">
      <alignment horizontal="center"/>
    </xf>
    <xf numFmtId="165" fontId="3" fillId="0" borderId="0" xfId="1" applyNumberFormat="1" applyFont="1" applyAlignment="1">
      <alignment horizontal="center"/>
    </xf>
    <xf numFmtId="10" fontId="3" fillId="0" borderId="0" xfId="3" applyNumberFormat="1" applyFont="1"/>
    <xf numFmtId="3" fontId="3" fillId="0" borderId="0" xfId="5" quotePrefix="1" applyNumberFormat="1" applyFont="1"/>
    <xf numFmtId="165" fontId="3" fillId="0" borderId="1" xfId="1" applyNumberFormat="1" applyFont="1" applyBorder="1" applyAlignment="1">
      <alignment horizontal="center"/>
    </xf>
    <xf numFmtId="43" fontId="3" fillId="0" borderId="1" xfId="1" applyFont="1" applyBorder="1" applyAlignment="1">
      <alignment horizontal="center"/>
    </xf>
    <xf numFmtId="10" fontId="3" fillId="0" borderId="0" xfId="3" applyNumberFormat="1" applyFont="1" applyAlignment="1">
      <alignment horizontal="right"/>
    </xf>
    <xf numFmtId="0" fontId="8" fillId="0" borderId="0" xfId="5" applyNumberFormat="1" applyFont="1" applyProtection="1">
      <protection locked="0"/>
    </xf>
    <xf numFmtId="164" fontId="8" fillId="0" borderId="0" xfId="5" applyFont="1"/>
    <xf numFmtId="177" fontId="3" fillId="2" borderId="0" xfId="1" applyNumberFormat="1" applyFont="1" applyFill="1" applyProtection="1">
      <protection locked="0"/>
    </xf>
    <xf numFmtId="38" fontId="3" fillId="0" borderId="0" xfId="5" applyNumberFormat="1" applyFont="1"/>
    <xf numFmtId="164" fontId="3" fillId="0" borderId="1" xfId="5" applyFont="1" applyBorder="1"/>
    <xf numFmtId="177" fontId="3" fillId="0" borderId="1" xfId="1" applyNumberFormat="1" applyFont="1" applyBorder="1" applyProtection="1">
      <protection locked="0"/>
    </xf>
    <xf numFmtId="177" fontId="3" fillId="0" borderId="0" xfId="1" applyNumberFormat="1" applyFont="1"/>
    <xf numFmtId="167" fontId="3" fillId="0" borderId="0" xfId="5" applyNumberFormat="1" applyFont="1"/>
    <xf numFmtId="168" fontId="3" fillId="0" borderId="0" xfId="5" applyNumberFormat="1" applyFont="1" applyProtection="1">
      <protection locked="0"/>
    </xf>
    <xf numFmtId="1" fontId="3" fillId="0" borderId="0" xfId="5" applyNumberFormat="1" applyFont="1"/>
    <xf numFmtId="0" fontId="3" fillId="0" borderId="0" xfId="5" applyNumberFormat="1" applyFont="1" applyAlignment="1" applyProtection="1">
      <alignment horizontal="left"/>
      <protection locked="0"/>
    </xf>
    <xf numFmtId="165" fontId="3" fillId="2" borderId="0" xfId="1" applyNumberFormat="1" applyFont="1" applyFill="1" applyProtection="1">
      <protection locked="0"/>
    </xf>
    <xf numFmtId="0" fontId="3" fillId="0" borderId="1" xfId="4" applyFont="1" applyBorder="1" applyAlignment="1">
      <alignment horizontal="left" vertical="center" wrapText="1"/>
    </xf>
    <xf numFmtId="165" fontId="3" fillId="0" borderId="1" xfId="1" applyNumberFormat="1" applyFont="1" applyBorder="1" applyProtection="1">
      <protection locked="0"/>
    </xf>
    <xf numFmtId="3" fontId="3" fillId="0" borderId="0" xfId="5" applyNumberFormat="1" applyFont="1" applyAlignment="1" applyProtection="1">
      <alignment horizontal="right"/>
      <protection locked="0"/>
    </xf>
    <xf numFmtId="164" fontId="3" fillId="0" borderId="0" xfId="5" applyFont="1" applyProtection="1">
      <protection locked="0"/>
    </xf>
    <xf numFmtId="167" fontId="3" fillId="0" borderId="0" xfId="5" applyNumberFormat="1" applyFont="1" applyAlignment="1" applyProtection="1">
      <alignment horizontal="right"/>
      <protection locked="0"/>
    </xf>
    <xf numFmtId="167" fontId="3" fillId="0" borderId="0" xfId="5" applyNumberFormat="1" applyFont="1" applyProtection="1">
      <protection locked="0"/>
    </xf>
    <xf numFmtId="0" fontId="3" fillId="0" borderId="0" xfId="5" applyNumberFormat="1" applyFont="1" applyAlignment="1" applyProtection="1">
      <alignment horizontal="left" indent="8"/>
      <protection locked="0"/>
    </xf>
    <xf numFmtId="0" fontId="12" fillId="0" borderId="0" xfId="5" applyNumberFormat="1" applyFont="1" applyAlignment="1" applyProtection="1">
      <alignment vertical="top" wrapText="1"/>
      <protection locked="0"/>
    </xf>
    <xf numFmtId="3" fontId="3" fillId="0" borderId="0" xfId="5" applyNumberFormat="1" applyFont="1" applyAlignment="1">
      <alignment vertical="top" wrapText="1"/>
    </xf>
    <xf numFmtId="0" fontId="3" fillId="0" borderId="0" xfId="5" applyNumberFormat="1" applyFont="1" applyAlignment="1" applyProtection="1">
      <alignment vertical="top" wrapText="1"/>
      <protection locked="0"/>
    </xf>
    <xf numFmtId="0" fontId="3" fillId="0" borderId="0" xfId="5" applyNumberFormat="1" applyFont="1" applyAlignment="1" applyProtection="1">
      <alignment vertical="top" wrapText="1"/>
      <protection locked="0"/>
    </xf>
    <xf numFmtId="0" fontId="3" fillId="0" borderId="0" xfId="5" applyNumberFormat="1" applyFont="1" applyAlignment="1" applyProtection="1">
      <alignment vertical="top"/>
      <protection locked="0"/>
    </xf>
    <xf numFmtId="9" fontId="3" fillId="2" borderId="0" xfId="1" applyNumberFormat="1" applyFont="1" applyFill="1" applyAlignment="1">
      <alignment horizontal="right"/>
    </xf>
    <xf numFmtId="172" fontId="3" fillId="2" borderId="0" xfId="1" applyNumberFormat="1" applyFont="1" applyFill="1" applyAlignment="1" applyProtection="1">
      <alignment vertical="top"/>
      <protection locked="0"/>
    </xf>
    <xf numFmtId="9" fontId="3" fillId="2" borderId="0" xfId="1" applyNumberFormat="1" applyFont="1" applyFill="1" applyAlignment="1" applyProtection="1">
      <alignment vertical="top"/>
      <protection locked="0"/>
    </xf>
    <xf numFmtId="43" fontId="3" fillId="0" borderId="0" xfId="1" applyFont="1" applyAlignment="1" applyProtection="1">
      <alignment vertical="top"/>
      <protection locked="0"/>
    </xf>
    <xf numFmtId="0" fontId="3" fillId="0" borderId="0" xfId="5" quotePrefix="1" applyNumberFormat="1" applyFont="1" applyAlignment="1">
      <alignment vertical="top" wrapText="1"/>
    </xf>
    <xf numFmtId="0" fontId="3" fillId="0" borderId="0" xfId="5" applyNumberFormat="1" applyFont="1" applyAlignment="1">
      <alignment vertical="top" wrapText="1"/>
    </xf>
    <xf numFmtId="164" fontId="3" fillId="0" borderId="0" xfId="5" applyFont="1" applyAlignment="1">
      <alignment vertical="top" wrapText="1"/>
    </xf>
    <xf numFmtId="0" fontId="3" fillId="0" borderId="0" xfId="4" quotePrefix="1" applyFont="1" applyAlignment="1">
      <alignment vertical="top" wrapText="1"/>
    </xf>
    <xf numFmtId="0" fontId="3" fillId="0" borderId="0" xfId="4" applyFont="1" applyAlignment="1">
      <alignment vertical="top" wrapText="1"/>
    </xf>
    <xf numFmtId="0" fontId="3" fillId="0" borderId="0" xfId="4" applyFont="1" applyAlignment="1">
      <alignment vertical="top" wrapText="1"/>
    </xf>
    <xf numFmtId="0" fontId="3" fillId="4" borderId="0" xfId="0" applyNumberFormat="1" applyFont="1" applyFill="1" applyAlignment="1">
      <alignment vertical="top" wrapText="1"/>
    </xf>
    <xf numFmtId="0" fontId="3" fillId="0" borderId="0" xfId="0" applyNumberFormat="1" applyFont="1" applyAlignment="1">
      <alignment horizontal="left" vertical="top" wrapText="1"/>
    </xf>
    <xf numFmtId="0" fontId="3" fillId="0" borderId="0" xfId="7" applyFont="1" applyAlignment="1">
      <alignment vertical="top" wrapText="1"/>
    </xf>
    <xf numFmtId="164" fontId="3" fillId="0" borderId="0" xfId="0" applyFont="1" applyAlignment="1">
      <alignment horizontal="left" wrapText="1"/>
    </xf>
    <xf numFmtId="0" fontId="3" fillId="0" borderId="0" xfId="4" applyFont="1" applyAlignment="1">
      <alignment vertical="top"/>
    </xf>
    <xf numFmtId="167" fontId="3" fillId="0" borderId="0" xfId="5" applyNumberFormat="1" applyFont="1" applyAlignment="1">
      <alignment vertical="top"/>
    </xf>
    <xf numFmtId="3" fontId="3" fillId="0" borderId="0" xfId="5" applyNumberFormat="1" applyFont="1" applyAlignment="1">
      <alignment vertical="top"/>
    </xf>
    <xf numFmtId="164" fontId="3" fillId="0" borderId="0" xfId="0" applyFont="1" applyAlignment="1">
      <alignment vertical="top"/>
    </xf>
    <xf numFmtId="164" fontId="13" fillId="0" borderId="0" xfId="0" applyFont="1"/>
    <xf numFmtId="0" fontId="3" fillId="0" borderId="0" xfId="8" applyFont="1" applyAlignment="1">
      <alignment vertical="center"/>
    </xf>
    <xf numFmtId="164" fontId="3" fillId="0" borderId="0" xfId="6" applyFont="1"/>
    <xf numFmtId="164" fontId="3" fillId="0" borderId="0" xfId="6" applyFont="1" applyAlignment="1">
      <alignment horizontal="right"/>
    </xf>
    <xf numFmtId="0" fontId="3" fillId="0" borderId="0" xfId="6" applyNumberFormat="1" applyFont="1" applyProtection="1">
      <protection locked="0"/>
    </xf>
    <xf numFmtId="0" fontId="3" fillId="0" borderId="0" xfId="6" applyNumberFormat="1" applyFont="1" applyAlignment="1" applyProtection="1">
      <alignment horizontal="center"/>
      <protection locked="0"/>
    </xf>
    <xf numFmtId="0" fontId="3" fillId="0" borderId="0" xfId="6" applyNumberFormat="1" applyFont="1" applyAlignment="1">
      <alignment horizontal="right"/>
    </xf>
    <xf numFmtId="0" fontId="3" fillId="0" borderId="0" xfId="6" applyNumberFormat="1" applyFont="1"/>
    <xf numFmtId="165" fontId="14" fillId="0" borderId="0" xfId="1" applyNumberFormat="1" applyFont="1"/>
    <xf numFmtId="3" fontId="3" fillId="0" borderId="0" xfId="6" applyNumberFormat="1" applyFont="1"/>
    <xf numFmtId="0" fontId="14" fillId="0" borderId="0" xfId="6" applyNumberFormat="1" applyFont="1" applyAlignment="1">
      <alignment horizontal="center"/>
    </xf>
    <xf numFmtId="0" fontId="14" fillId="0" borderId="0" xfId="6" applyNumberFormat="1" applyFont="1"/>
    <xf numFmtId="49" fontId="3" fillId="0" borderId="0" xfId="6" applyNumberFormat="1" applyFont="1"/>
    <xf numFmtId="0" fontId="3" fillId="0" borderId="0" xfId="6" applyNumberFormat="1" applyFont="1" applyAlignment="1">
      <alignment horizontal="center"/>
    </xf>
    <xf numFmtId="49" fontId="3" fillId="0" borderId="0" xfId="6" applyNumberFormat="1" applyFont="1" applyAlignment="1">
      <alignment horizontal="center"/>
    </xf>
    <xf numFmtId="3" fontId="10" fillId="0" borderId="0" xfId="6" applyNumberFormat="1" applyFont="1" applyAlignment="1">
      <alignment horizontal="center"/>
    </xf>
    <xf numFmtId="164" fontId="10" fillId="0" borderId="0" xfId="6" applyFont="1" applyAlignment="1">
      <alignment horizontal="center"/>
    </xf>
    <xf numFmtId="0" fontId="10" fillId="0" borderId="0" xfId="6" applyNumberFormat="1" applyFont="1" applyAlignment="1" applyProtection="1">
      <alignment horizontal="center"/>
      <protection locked="0"/>
    </xf>
    <xf numFmtId="0" fontId="10" fillId="0" borderId="0" xfId="6" applyNumberFormat="1" applyFont="1" applyAlignment="1">
      <alignment horizontal="center"/>
    </xf>
    <xf numFmtId="0" fontId="10" fillId="0" borderId="0" xfId="6" applyNumberFormat="1" applyFont="1"/>
    <xf numFmtId="0" fontId="15" fillId="0" borderId="0" xfId="6" applyNumberFormat="1" applyFont="1" applyAlignment="1" applyProtection="1">
      <alignment horizontal="center"/>
      <protection locked="0"/>
    </xf>
    <xf numFmtId="3" fontId="3" fillId="0" borderId="0" xfId="6" applyNumberFormat="1" applyFont="1" applyAlignment="1">
      <alignment horizontal="center"/>
    </xf>
    <xf numFmtId="3" fontId="3" fillId="0" borderId="0" xfId="6" applyNumberFormat="1" applyFont="1" applyAlignment="1">
      <alignment horizontal="left"/>
    </xf>
    <xf numFmtId="178" fontId="16" fillId="0" borderId="0" xfId="1" applyNumberFormat="1" applyFont="1"/>
    <xf numFmtId="10" fontId="16" fillId="0" borderId="0" xfId="3" applyNumberFormat="1" applyFont="1"/>
    <xf numFmtId="10" fontId="10" fillId="0" borderId="0" xfId="6" applyNumberFormat="1" applyFont="1"/>
    <xf numFmtId="3" fontId="10" fillId="0" borderId="0" xfId="6" applyNumberFormat="1" applyFont="1"/>
    <xf numFmtId="171" fontId="10" fillId="0" borderId="0" xfId="6" applyNumberFormat="1" applyFont="1"/>
    <xf numFmtId="10" fontId="3" fillId="0" borderId="0" xfId="6" applyNumberFormat="1" applyFont="1"/>
    <xf numFmtId="164" fontId="3" fillId="0" borderId="0" xfId="6" applyFont="1" applyAlignment="1">
      <alignment horizontal="left"/>
    </xf>
    <xf numFmtId="164" fontId="3" fillId="0" borderId="0" xfId="6" applyFont="1" applyAlignment="1">
      <alignment horizontal="center"/>
    </xf>
    <xf numFmtId="43" fontId="16" fillId="0" borderId="0" xfId="1" applyFont="1"/>
    <xf numFmtId="49" fontId="10" fillId="0" borderId="0" xfId="6" applyNumberFormat="1" applyFont="1" applyAlignment="1">
      <alignment horizontal="center"/>
    </xf>
    <xf numFmtId="164" fontId="10" fillId="0" borderId="0" xfId="6" applyFont="1"/>
    <xf numFmtId="3" fontId="10" fillId="0" borderId="0" xfId="6" applyNumberFormat="1" applyFont="1" applyAlignment="1">
      <alignment horizontal="left"/>
    </xf>
    <xf numFmtId="179" fontId="10" fillId="0" borderId="0" xfId="1" applyNumberFormat="1" applyFont="1"/>
    <xf numFmtId="10" fontId="10" fillId="0" borderId="0" xfId="3" applyNumberFormat="1" applyFont="1"/>
    <xf numFmtId="0" fontId="3" fillId="0" borderId="0" xfId="6" applyNumberFormat="1" applyFont="1" applyAlignment="1">
      <alignment horizontal="fill"/>
    </xf>
    <xf numFmtId="164" fontId="8" fillId="0" borderId="0" xfId="6" applyFont="1"/>
    <xf numFmtId="3" fontId="8" fillId="0" borderId="0" xfId="6" applyNumberFormat="1" applyFont="1"/>
    <xf numFmtId="172" fontId="3" fillId="0" borderId="0" xfId="6" applyNumberFormat="1" applyFont="1" applyAlignment="1">
      <alignment horizontal="left"/>
    </xf>
    <xf numFmtId="172" fontId="3" fillId="0" borderId="0" xfId="6" applyNumberFormat="1" applyFont="1" applyAlignment="1">
      <alignment horizontal="center"/>
    </xf>
    <xf numFmtId="167" fontId="3" fillId="0" borderId="0" xfId="6" applyNumberFormat="1" applyFont="1"/>
    <xf numFmtId="43" fontId="10" fillId="0" borderId="0" xfId="1" applyFont="1"/>
    <xf numFmtId="0" fontId="8" fillId="0" borderId="0" xfId="6" applyNumberFormat="1" applyFont="1"/>
    <xf numFmtId="49" fontId="3" fillId="0" borderId="0" xfId="6" applyNumberFormat="1" applyFont="1" applyAlignment="1">
      <alignment horizontal="left"/>
    </xf>
    <xf numFmtId="180" fontId="10" fillId="0" borderId="0" xfId="6" applyNumberFormat="1" applyFont="1" applyAlignment="1">
      <alignment horizontal="center"/>
    </xf>
    <xf numFmtId="180" fontId="10" fillId="0" borderId="0" xfId="6" quotePrefix="1" applyNumberFormat="1" applyFont="1" applyAlignment="1">
      <alignment horizontal="center"/>
    </xf>
    <xf numFmtId="164" fontId="10" fillId="0" borderId="4" xfId="6" applyFont="1" applyBorder="1" applyAlignment="1">
      <alignment horizontal="center" wrapText="1"/>
    </xf>
    <xf numFmtId="164" fontId="10" fillId="0" borderId="5" xfId="6" applyFont="1" applyBorder="1"/>
    <xf numFmtId="164" fontId="10" fillId="0" borderId="6" xfId="6" applyFont="1" applyBorder="1"/>
    <xf numFmtId="164" fontId="10" fillId="0" borderId="5" xfId="6" applyFont="1" applyBorder="1" applyAlignment="1">
      <alignment horizontal="center" wrapText="1"/>
    </xf>
    <xf numFmtId="0" fontId="10" fillId="0" borderId="5" xfId="6" applyNumberFormat="1" applyFont="1" applyBorder="1" applyAlignment="1">
      <alignment horizontal="center" wrapText="1"/>
    </xf>
    <xf numFmtId="164" fontId="10" fillId="0" borderId="7" xfId="6" applyFont="1" applyBorder="1" applyAlignment="1">
      <alignment horizontal="center" wrapText="1"/>
    </xf>
    <xf numFmtId="3" fontId="10" fillId="0" borderId="7" xfId="6" applyNumberFormat="1" applyFont="1" applyBorder="1" applyAlignment="1">
      <alignment horizontal="center" wrapText="1"/>
    </xf>
    <xf numFmtId="0" fontId="3" fillId="0" borderId="4" xfId="6" applyNumberFormat="1" applyFont="1" applyBorder="1"/>
    <xf numFmtId="0" fontId="3" fillId="0" borderId="5" xfId="6" applyNumberFormat="1" applyFont="1" applyBorder="1"/>
    <xf numFmtId="0" fontId="3" fillId="0" borderId="5" xfId="6" applyNumberFormat="1" applyFont="1" applyBorder="1" applyAlignment="1">
      <alignment horizontal="center"/>
    </xf>
    <xf numFmtId="0" fontId="3" fillId="0" borderId="7" xfId="6" applyNumberFormat="1" applyFont="1" applyBorder="1" applyAlignment="1">
      <alignment horizontal="center"/>
    </xf>
    <xf numFmtId="0" fontId="3" fillId="0" borderId="7" xfId="6" applyNumberFormat="1" applyFont="1" applyBorder="1" applyAlignment="1">
      <alignment horizontal="center" wrapText="1"/>
    </xf>
    <xf numFmtId="3" fontId="3" fillId="0" borderId="7" xfId="6" applyNumberFormat="1" applyFont="1" applyBorder="1" applyAlignment="1">
      <alignment horizontal="center" wrapText="1"/>
    </xf>
    <xf numFmtId="0" fontId="3" fillId="0" borderId="5" xfId="6" applyNumberFormat="1" applyFont="1" applyBorder="1" applyAlignment="1">
      <alignment horizontal="center" wrapText="1"/>
    </xf>
    <xf numFmtId="3" fontId="3" fillId="0" borderId="5" xfId="6" applyNumberFormat="1" applyFont="1" applyBorder="1" applyAlignment="1">
      <alignment horizontal="center"/>
    </xf>
    <xf numFmtId="0" fontId="3" fillId="0" borderId="8" xfId="6" applyNumberFormat="1" applyFont="1" applyBorder="1"/>
    <xf numFmtId="0" fontId="3" fillId="0" borderId="9" xfId="6" applyNumberFormat="1" applyFont="1" applyBorder="1"/>
    <xf numFmtId="0" fontId="3" fillId="0" borderId="10" xfId="6" applyNumberFormat="1" applyFont="1" applyBorder="1"/>
    <xf numFmtId="0" fontId="3" fillId="0" borderId="11" xfId="6" applyNumberFormat="1" applyFont="1" applyBorder="1"/>
    <xf numFmtId="3" fontId="3" fillId="0" borderId="9" xfId="6" applyNumberFormat="1" applyFont="1" applyBorder="1"/>
    <xf numFmtId="164" fontId="3" fillId="0" borderId="8" xfId="9" applyFont="1" applyBorder="1"/>
    <xf numFmtId="164" fontId="3" fillId="0" borderId="0" xfId="9" applyFont="1"/>
    <xf numFmtId="164" fontId="3" fillId="2" borderId="0" xfId="9" applyFont="1" applyFill="1"/>
    <xf numFmtId="0" fontId="3" fillId="2" borderId="0" xfId="1" applyNumberFormat="1" applyFont="1" applyFill="1"/>
    <xf numFmtId="181" fontId="3" fillId="2" borderId="0" xfId="2" applyNumberFormat="1" applyFont="1" applyFill="1"/>
    <xf numFmtId="43" fontId="3" fillId="0" borderId="9" xfId="1" applyFont="1" applyBorder="1"/>
    <xf numFmtId="165" fontId="3" fillId="0" borderId="9" xfId="1" applyNumberFormat="1" applyFont="1" applyBorder="1"/>
    <xf numFmtId="165" fontId="3" fillId="2" borderId="8" xfId="1" applyNumberFormat="1" applyFont="1" applyFill="1" applyBorder="1"/>
    <xf numFmtId="0" fontId="3" fillId="2" borderId="0" xfId="1" applyNumberFormat="1" applyFont="1" applyFill="1" applyAlignment="1">
      <alignment horizontal="right"/>
    </xf>
    <xf numFmtId="164" fontId="3" fillId="0" borderId="8" xfId="6" applyFont="1" applyBorder="1"/>
    <xf numFmtId="164" fontId="3" fillId="2" borderId="0" xfId="6" applyFont="1" applyFill="1"/>
    <xf numFmtId="164" fontId="3" fillId="0" borderId="12" xfId="6" applyFont="1" applyBorder="1"/>
    <xf numFmtId="164" fontId="3" fillId="0" borderId="13" xfId="6" applyFont="1" applyBorder="1"/>
    <xf numFmtId="164" fontId="3" fillId="0" borderId="14" xfId="6" applyFont="1" applyBorder="1"/>
    <xf numFmtId="165" fontId="3" fillId="0" borderId="14" xfId="1" applyNumberFormat="1" applyFont="1" applyBorder="1"/>
    <xf numFmtId="165" fontId="3" fillId="0" borderId="13" xfId="1" applyNumberFormat="1" applyFont="1" applyBorder="1"/>
    <xf numFmtId="165" fontId="9" fillId="0" borderId="12" xfId="1" applyNumberFormat="1" applyFont="1" applyBorder="1"/>
    <xf numFmtId="165" fontId="9" fillId="0" borderId="14" xfId="1" applyNumberFormat="1" applyFont="1" applyBorder="1"/>
    <xf numFmtId="165" fontId="9" fillId="0" borderId="13" xfId="1" applyNumberFormat="1" applyFont="1" applyBorder="1"/>
    <xf numFmtId="1" fontId="3" fillId="0" borderId="0" xfId="1" applyNumberFormat="1" applyFont="1" applyAlignment="1">
      <alignment horizontal="center"/>
    </xf>
    <xf numFmtId="165" fontId="3" fillId="5" borderId="0" xfId="1" applyNumberFormat="1" applyFont="1" applyFill="1"/>
    <xf numFmtId="164" fontId="3" fillId="0" borderId="1" xfId="6" applyFont="1" applyBorder="1"/>
    <xf numFmtId="164" fontId="3" fillId="0" borderId="0" xfId="6" applyFont="1" applyAlignment="1">
      <alignment horizontal="center" vertical="top"/>
    </xf>
    <xf numFmtId="164" fontId="3" fillId="0" borderId="0" xfId="6" applyFont="1" applyAlignment="1">
      <alignment horizontal="left" vertical="top" wrapText="1"/>
    </xf>
    <xf numFmtId="164" fontId="3" fillId="0" borderId="0" xfId="6" applyFont="1" applyAlignment="1">
      <alignment horizontal="left" wrapText="1"/>
    </xf>
    <xf numFmtId="164" fontId="3" fillId="0" borderId="0" xfId="6" applyFont="1" applyAlignment="1">
      <alignment horizontal="left"/>
    </xf>
    <xf numFmtId="164" fontId="3" fillId="0" borderId="0" xfId="9" applyFont="1" applyAlignment="1">
      <alignment vertical="top"/>
    </xf>
    <xf numFmtId="164" fontId="17" fillId="0" borderId="0" xfId="0" applyFont="1" applyAlignment="1">
      <alignment horizontal="left" vertical="center" wrapText="1"/>
    </xf>
    <xf numFmtId="165" fontId="0" fillId="0" borderId="0" xfId="1" applyNumberFormat="1" applyFont="1"/>
    <xf numFmtId="164" fontId="17" fillId="0" borderId="0" xfId="0" applyFont="1"/>
    <xf numFmtId="0" fontId="18" fillId="0" borderId="0" xfId="6" applyNumberFormat="1" applyFont="1" applyProtection="1">
      <protection locked="0"/>
    </xf>
    <xf numFmtId="0" fontId="18" fillId="0" borderId="0" xfId="6" applyNumberFormat="1" applyFont="1" applyAlignment="1" applyProtection="1">
      <alignment horizontal="center"/>
      <protection locked="0"/>
    </xf>
    <xf numFmtId="0" fontId="17" fillId="0" borderId="0" xfId="6" applyNumberFormat="1" applyFont="1" applyAlignment="1">
      <alignment horizontal="right"/>
    </xf>
    <xf numFmtId="3" fontId="18" fillId="0" borderId="0" xfId="6" applyNumberFormat="1" applyFont="1"/>
    <xf numFmtId="164" fontId="0" fillId="0" borderId="0" xfId="6" applyFont="1"/>
    <xf numFmtId="0" fontId="18" fillId="0" borderId="0" xfId="6" applyNumberFormat="1" applyFont="1"/>
    <xf numFmtId="0" fontId="18" fillId="0" borderId="0" xfId="6" applyNumberFormat="1" applyFont="1" applyAlignment="1">
      <alignment horizontal="center"/>
    </xf>
    <xf numFmtId="164" fontId="4" fillId="0" borderId="0" xfId="6"/>
    <xf numFmtId="164" fontId="18" fillId="0" borderId="0" xfId="0" applyFont="1" applyAlignment="1">
      <alignment horizontal="center" vertical="center"/>
    </xf>
    <xf numFmtId="165" fontId="17" fillId="0" borderId="0" xfId="1" applyNumberFormat="1" applyFont="1"/>
    <xf numFmtId="167" fontId="17" fillId="0" borderId="0" xfId="0" applyNumberFormat="1" applyFont="1"/>
    <xf numFmtId="165" fontId="17" fillId="0" borderId="0" xfId="1" applyNumberFormat="1" applyFont="1" applyAlignment="1" applyProtection="1">
      <alignment horizontal="center"/>
      <protection locked="0"/>
    </xf>
    <xf numFmtId="0" fontId="17" fillId="0" borderId="0" xfId="5" applyNumberFormat="1" applyFont="1" applyProtection="1">
      <protection locked="0"/>
    </xf>
    <xf numFmtId="3" fontId="17" fillId="0" borderId="0" xfId="5" applyNumberFormat="1" applyFont="1"/>
    <xf numFmtId="3" fontId="17" fillId="0" borderId="1" xfId="5" applyNumberFormat="1" applyFont="1" applyBorder="1" applyAlignment="1">
      <alignment horizontal="center"/>
    </xf>
    <xf numFmtId="0" fontId="17" fillId="0" borderId="0" xfId="5" applyNumberFormat="1" applyFont="1"/>
    <xf numFmtId="3" fontId="17" fillId="0" borderId="0" xfId="5" applyNumberFormat="1" applyFont="1" applyAlignment="1">
      <alignment horizontal="center"/>
    </xf>
    <xf numFmtId="0" fontId="17" fillId="0" borderId="1" xfId="5" applyNumberFormat="1" applyFont="1" applyBorder="1" applyAlignment="1" applyProtection="1">
      <alignment horizontal="center"/>
      <protection locked="0"/>
    </xf>
    <xf numFmtId="164" fontId="17" fillId="0" borderId="0" xfId="5" applyFont="1"/>
    <xf numFmtId="43" fontId="17" fillId="2" borderId="0" xfId="1" applyFont="1" applyFill="1" applyAlignment="1">
      <alignment horizontal="center"/>
    </xf>
    <xf numFmtId="43" fontId="17" fillId="2" borderId="0" xfId="1" applyFont="1" applyFill="1"/>
    <xf numFmtId="43" fontId="17" fillId="0" borderId="0" xfId="1" applyFont="1"/>
    <xf numFmtId="164" fontId="17" fillId="0" borderId="0" xfId="5" applyFont="1" applyAlignment="1">
      <alignment wrapText="1"/>
    </xf>
    <xf numFmtId="43" fontId="17" fillId="0" borderId="1" xfId="1" applyFont="1" applyBorder="1" applyAlignment="1">
      <alignment horizontal="center"/>
    </xf>
    <xf numFmtId="170" fontId="17" fillId="4" borderId="0" xfId="1" applyNumberFormat="1" applyFont="1" applyFill="1"/>
    <xf numFmtId="43" fontId="17" fillId="0" borderId="1" xfId="1" applyFont="1" applyBorder="1"/>
    <xf numFmtId="43" fontId="17" fillId="0" borderId="0" xfId="1" applyFont="1" applyAlignment="1">
      <alignment horizontal="center"/>
    </xf>
    <xf numFmtId="166" fontId="17" fillId="0" borderId="0" xfId="5" applyNumberFormat="1" applyFont="1" applyAlignment="1">
      <alignment horizontal="center"/>
    </xf>
    <xf numFmtId="172" fontId="17" fillId="0" borderId="0" xfId="5" applyNumberFormat="1" applyFont="1" applyAlignment="1">
      <alignment horizontal="left"/>
    </xf>
    <xf numFmtId="175" fontId="18" fillId="0" borderId="0" xfId="1" applyNumberFormat="1" applyFont="1" applyAlignment="1">
      <alignment horizontal="right"/>
    </xf>
    <xf numFmtId="43" fontId="17" fillId="0" borderId="0" xfId="1" applyFont="1" applyAlignment="1">
      <alignment horizontal="right"/>
    </xf>
    <xf numFmtId="10" fontId="17" fillId="0" borderId="0" xfId="5" applyNumberFormat="1" applyFont="1" applyAlignment="1">
      <alignment horizontal="left"/>
    </xf>
    <xf numFmtId="3" fontId="17" fillId="0" borderId="0" xfId="4" applyNumberFormat="1" applyFont="1"/>
    <xf numFmtId="166" fontId="17" fillId="0" borderId="0" xfId="4" applyNumberFormat="1" applyFont="1"/>
    <xf numFmtId="0" fontId="17" fillId="0" borderId="0" xfId="4" applyFont="1"/>
    <xf numFmtId="43" fontId="17" fillId="0" borderId="13" xfId="1" applyFont="1" applyBorder="1" applyAlignment="1">
      <alignment horizontal="right"/>
    </xf>
    <xf numFmtId="172" fontId="17" fillId="0" borderId="0" xfId="5" applyNumberFormat="1" applyFont="1" applyAlignment="1" applyProtection="1">
      <alignment horizontal="left"/>
      <protection locked="0"/>
    </xf>
    <xf numFmtId="43" fontId="17" fillId="0" borderId="13" xfId="1" applyFont="1" applyBorder="1"/>
    <xf numFmtId="165" fontId="17" fillId="0" borderId="0" xfId="1" applyNumberFormat="1" applyFont="1" applyAlignment="1">
      <alignment horizontal="left" indent="2"/>
    </xf>
    <xf numFmtId="175" fontId="17" fillId="0" borderId="0" xfId="1" applyNumberFormat="1" applyFont="1"/>
    <xf numFmtId="165" fontId="0" fillId="0" borderId="0" xfId="1" applyNumberFormat="1" applyFont="1" applyAlignment="1">
      <alignment horizontal="center"/>
    </xf>
    <xf numFmtId="0" fontId="3" fillId="0" borderId="0" xfId="1" applyNumberFormat="1" applyFont="1" applyAlignment="1">
      <alignment horizontal="center"/>
    </xf>
    <xf numFmtId="0" fontId="3" fillId="0" borderId="0" xfId="10" applyNumberFormat="1" applyFont="1" applyAlignment="1" applyProtection="1">
      <alignment horizontal="center"/>
      <protection locked="0"/>
    </xf>
    <xf numFmtId="0" fontId="3" fillId="0" borderId="0" xfId="1" applyNumberFormat="1" applyFont="1" applyAlignment="1" applyProtection="1">
      <alignment horizontal="center"/>
      <protection locked="0"/>
    </xf>
    <xf numFmtId="164" fontId="19" fillId="0" borderId="0" xfId="6" applyFont="1"/>
    <xf numFmtId="164" fontId="3" fillId="0" borderId="0" xfId="0" applyFont="1" applyAlignment="1">
      <alignment horizontal="center"/>
    </xf>
    <xf numFmtId="164" fontId="3" fillId="0" borderId="10" xfId="0" applyFont="1" applyBorder="1" applyAlignment="1">
      <alignment horizontal="center"/>
    </xf>
    <xf numFmtId="164" fontId="3" fillId="0" borderId="15" xfId="0" applyFont="1" applyBorder="1" applyAlignment="1">
      <alignment horizontal="center"/>
    </xf>
    <xf numFmtId="164" fontId="3" fillId="0" borderId="10" xfId="0" applyFont="1" applyBorder="1"/>
    <xf numFmtId="164" fontId="3" fillId="0" borderId="11" xfId="0" applyFont="1" applyBorder="1" applyAlignment="1">
      <alignment horizontal="center"/>
    </xf>
    <xf numFmtId="164" fontId="3" fillId="0" borderId="6" xfId="0" applyFont="1" applyBorder="1"/>
    <xf numFmtId="164" fontId="3" fillId="0" borderId="15" xfId="0" applyFont="1" applyBorder="1"/>
    <xf numFmtId="164" fontId="3" fillId="0" borderId="12" xfId="0" applyFont="1" applyBorder="1" applyAlignment="1">
      <alignment horizontal="center"/>
    </xf>
    <xf numFmtId="164" fontId="3" fillId="0" borderId="16" xfId="0" applyFont="1" applyBorder="1" applyAlignment="1">
      <alignment horizontal="center"/>
    </xf>
    <xf numFmtId="164" fontId="3" fillId="0" borderId="12" xfId="0" applyFont="1" applyBorder="1"/>
    <xf numFmtId="164" fontId="3" fillId="0" borderId="14" xfId="0" applyFont="1" applyBorder="1" applyAlignment="1">
      <alignment horizontal="center"/>
    </xf>
    <xf numFmtId="164" fontId="3" fillId="0" borderId="13" xfId="0" applyFont="1" applyBorder="1"/>
    <xf numFmtId="164" fontId="3" fillId="0" borderId="16" xfId="0" applyFont="1" applyBorder="1"/>
    <xf numFmtId="164" fontId="3" fillId="3" borderId="0" xfId="0" applyFont="1" applyFill="1"/>
    <xf numFmtId="164" fontId="3" fillId="0" borderId="11" xfId="0" applyFont="1" applyBorder="1"/>
    <xf numFmtId="181" fontId="3" fillId="3" borderId="8" xfId="2" applyNumberFormat="1" applyFont="1" applyFill="1" applyBorder="1"/>
    <xf numFmtId="164" fontId="3" fillId="0" borderId="9" xfId="0" applyFont="1" applyBorder="1"/>
    <xf numFmtId="164" fontId="3" fillId="0" borderId="7" xfId="0" applyFont="1" applyBorder="1" applyAlignment="1">
      <alignment horizontal="center"/>
    </xf>
    <xf numFmtId="164" fontId="3" fillId="0" borderId="9" xfId="0" applyFont="1" applyBorder="1" applyAlignment="1">
      <alignment horizontal="center"/>
    </xf>
    <xf numFmtId="164" fontId="3" fillId="0" borderId="8" xfId="0" applyFont="1" applyBorder="1" applyAlignment="1">
      <alignment horizontal="center"/>
    </xf>
    <xf numFmtId="164" fontId="3" fillId="0" borderId="10" xfId="0" applyFont="1" applyBorder="1" applyAlignment="1">
      <alignment horizontal="center"/>
    </xf>
    <xf numFmtId="164" fontId="19" fillId="0" borderId="14" xfId="6" applyFont="1" applyBorder="1" applyAlignment="1">
      <alignment horizontal="center"/>
    </xf>
    <xf numFmtId="43" fontId="3" fillId="3" borderId="10" xfId="1" applyFont="1" applyFill="1" applyBorder="1"/>
    <xf numFmtId="43" fontId="3" fillId="0" borderId="11" xfId="1" applyFont="1" applyBorder="1"/>
    <xf numFmtId="43" fontId="3" fillId="0" borderId="17" xfId="1" applyFont="1" applyBorder="1"/>
    <xf numFmtId="43" fontId="3" fillId="3" borderId="15" xfId="1" applyFont="1" applyFill="1" applyBorder="1"/>
    <xf numFmtId="43" fontId="3" fillId="0" borderId="9" xfId="1" applyFont="1" applyBorder="1" applyAlignment="1">
      <alignment horizontal="center"/>
    </xf>
    <xf numFmtId="43" fontId="3" fillId="3" borderId="11" xfId="1" applyFont="1" applyFill="1" applyBorder="1" applyAlignment="1">
      <alignment horizontal="center"/>
    </xf>
    <xf numFmtId="164" fontId="3" fillId="3" borderId="9" xfId="0" applyFont="1" applyFill="1" applyBorder="1"/>
    <xf numFmtId="43" fontId="3" fillId="3" borderId="8" xfId="1" applyFont="1" applyFill="1" applyBorder="1"/>
    <xf numFmtId="43" fontId="3" fillId="3" borderId="17" xfId="1" applyFont="1" applyFill="1" applyBorder="1"/>
    <xf numFmtId="43" fontId="3" fillId="3" borderId="9" xfId="1" applyFont="1" applyFill="1" applyBorder="1"/>
    <xf numFmtId="164" fontId="3" fillId="0" borderId="14" xfId="0" applyFont="1" applyBorder="1"/>
    <xf numFmtId="181" fontId="3" fillId="0" borderId="12" xfId="2" applyNumberFormat="1" applyFont="1" applyBorder="1"/>
    <xf numFmtId="10" fontId="3" fillId="0" borderId="14" xfId="3" applyNumberFormat="1" applyFont="1" applyBorder="1"/>
    <xf numFmtId="181" fontId="3" fillId="0" borderId="16" xfId="2" applyNumberFormat="1" applyFont="1" applyBorder="1"/>
    <xf numFmtId="43" fontId="3" fillId="3" borderId="0" xfId="1" applyFont="1" applyFill="1"/>
    <xf numFmtId="0" fontId="10" fillId="0" borderId="0" xfId="1" applyNumberFormat="1" applyFont="1" applyAlignment="1">
      <alignment horizontal="left"/>
    </xf>
    <xf numFmtId="164" fontId="3" fillId="0" borderId="13" xfId="6" applyFont="1" applyBorder="1" applyAlignment="1">
      <alignment horizontal="center"/>
    </xf>
    <xf numFmtId="164" fontId="3" fillId="0" borderId="10" xfId="6" applyFont="1" applyBorder="1" applyAlignment="1">
      <alignment horizontal="center"/>
    </xf>
    <xf numFmtId="164" fontId="3" fillId="0" borderId="11" xfId="6" applyFont="1" applyBorder="1" applyAlignment="1">
      <alignment horizontal="center"/>
    </xf>
    <xf numFmtId="164" fontId="3" fillId="0" borderId="8" xfId="6" applyFont="1" applyBorder="1" applyAlignment="1">
      <alignment horizontal="center"/>
    </xf>
    <xf numFmtId="164" fontId="3" fillId="0" borderId="9" xfId="6" applyFont="1" applyBorder="1" applyAlignment="1">
      <alignment horizontal="center"/>
    </xf>
    <xf numFmtId="43" fontId="3" fillId="3" borderId="8" xfId="1" applyFont="1" applyFill="1" applyBorder="1" applyAlignment="1">
      <alignment horizontal="center"/>
    </xf>
    <xf numFmtId="164" fontId="3" fillId="0" borderId="12" xfId="6" applyFont="1" applyBorder="1" applyAlignment="1">
      <alignment horizontal="center"/>
    </xf>
    <xf numFmtId="0" fontId="3" fillId="0" borderId="0" xfId="11" applyFont="1"/>
    <xf numFmtId="0" fontId="3" fillId="0" borderId="0" xfId="1" applyNumberFormat="1" applyFont="1" applyAlignment="1">
      <alignment horizontal="center" vertical="top"/>
    </xf>
    <xf numFmtId="164" fontId="3" fillId="0" borderId="0" xfId="0" applyFont="1" applyAlignment="1">
      <alignment horizontal="left" vertical="top" wrapText="1"/>
    </xf>
    <xf numFmtId="0" fontId="3" fillId="0" borderId="0" xfId="0" applyNumberFormat="1" applyFont="1" applyAlignment="1">
      <alignment horizontal="center" vertical="top"/>
    </xf>
    <xf numFmtId="0" fontId="11" fillId="0" borderId="0" xfId="0" applyNumberFormat="1" applyFont="1" applyAlignment="1">
      <alignment horizontal="center"/>
    </xf>
    <xf numFmtId="0" fontId="3" fillId="0" borderId="0" xfId="12" applyFont="1"/>
    <xf numFmtId="0" fontId="3" fillId="0" borderId="0" xfId="12" applyFont="1" applyAlignment="1">
      <alignment horizontal="right"/>
    </xf>
    <xf numFmtId="0" fontId="3" fillId="0" borderId="0" xfId="0" applyNumberFormat="1" applyFont="1" applyAlignment="1">
      <alignment horizontal="center"/>
    </xf>
    <xf numFmtId="0" fontId="3" fillId="0" borderId="0" xfId="12" applyFont="1" applyAlignment="1">
      <alignment horizontal="center"/>
    </xf>
    <xf numFmtId="164" fontId="3" fillId="0" borderId="0" xfId="0" applyFont="1" applyAlignment="1">
      <alignment horizontal="right"/>
    </xf>
    <xf numFmtId="0" fontId="10" fillId="0" borderId="0" xfId="12" applyFont="1" applyAlignment="1">
      <alignment horizontal="centerContinuous"/>
    </xf>
    <xf numFmtId="0" fontId="10" fillId="0" borderId="0" xfId="12" applyFont="1" applyAlignment="1">
      <alignment horizontal="center"/>
    </xf>
    <xf numFmtId="0" fontId="10" fillId="0" borderId="0" xfId="12" applyFont="1" applyAlignment="1">
      <alignment horizontal="center"/>
    </xf>
    <xf numFmtId="164" fontId="10" fillId="0" borderId="0" xfId="0" applyFont="1" applyAlignment="1">
      <alignment horizontal="center"/>
    </xf>
    <xf numFmtId="0" fontId="3" fillId="0" borderId="0" xfId="0" applyNumberFormat="1" applyFont="1" applyAlignment="1">
      <alignment horizontal="center" wrapText="1"/>
    </xf>
    <xf numFmtId="0" fontId="10" fillId="0" borderId="0" xfId="12" applyFont="1" applyAlignment="1">
      <alignment horizontal="center" wrapText="1"/>
    </xf>
    <xf numFmtId="164" fontId="3" fillId="0" borderId="0" xfId="0" applyFont="1" applyAlignment="1">
      <alignment wrapText="1"/>
    </xf>
    <xf numFmtId="0" fontId="10" fillId="0" borderId="0" xfId="7" applyFont="1" applyAlignment="1">
      <alignment horizontal="center" wrapText="1"/>
    </xf>
    <xf numFmtId="0" fontId="3" fillId="0" borderId="0" xfId="13" applyFont="1" applyAlignment="1">
      <alignment horizontal="left" wrapText="1"/>
    </xf>
    <xf numFmtId="0" fontId="3" fillId="0" borderId="0" xfId="12" applyFont="1" applyAlignment="1">
      <alignment horizontal="center" wrapText="1"/>
    </xf>
    <xf numFmtId="0" fontId="3" fillId="0" borderId="0" xfId="7" applyFont="1" applyAlignment="1">
      <alignment horizontal="center" wrapText="1"/>
    </xf>
    <xf numFmtId="3" fontId="3" fillId="0" borderId="0" xfId="4" applyNumberFormat="1" applyFont="1" applyAlignment="1">
      <alignment wrapText="1"/>
    </xf>
    <xf numFmtId="3" fontId="3" fillId="0" borderId="0" xfId="4" applyNumberFormat="1" applyFont="1" applyAlignment="1">
      <alignment horizontal="center" wrapText="1"/>
    </xf>
    <xf numFmtId="0" fontId="3" fillId="0" borderId="0" xfId="12" quotePrefix="1" applyFont="1" applyAlignment="1">
      <alignment horizontal="left"/>
    </xf>
    <xf numFmtId="41" fontId="3" fillId="2" borderId="0" xfId="12" applyNumberFormat="1" applyFont="1" applyFill="1"/>
    <xf numFmtId="37" fontId="3" fillId="0" borderId="0" xfId="12" applyNumberFormat="1" applyFont="1"/>
    <xf numFmtId="164" fontId="3" fillId="0" borderId="0" xfId="14" applyFont="1"/>
    <xf numFmtId="0" fontId="10" fillId="0" borderId="0" xfId="12" applyFont="1" applyAlignment="1">
      <alignment horizontal="centerContinuous" wrapText="1"/>
    </xf>
    <xf numFmtId="41" fontId="3" fillId="6" borderId="0" xfId="12" applyNumberFormat="1" applyFont="1" applyFill="1"/>
    <xf numFmtId="43" fontId="3" fillId="0" borderId="3" xfId="1" applyFont="1" applyBorder="1"/>
    <xf numFmtId="44" fontId="3" fillId="0" borderId="0" xfId="0" applyNumberFormat="1" applyFont="1"/>
    <xf numFmtId="0" fontId="3" fillId="0" borderId="0" xfId="15" applyFont="1"/>
    <xf numFmtId="0" fontId="3" fillId="0" borderId="0" xfId="15" applyFont="1" applyAlignment="1">
      <alignment horizontal="center"/>
    </xf>
    <xf numFmtId="3" fontId="3" fillId="0" borderId="0" xfId="15" applyNumberFormat="1" applyFont="1" applyAlignment="1">
      <alignment horizontal="center" wrapText="1"/>
    </xf>
    <xf numFmtId="0" fontId="3" fillId="0" borderId="0" xfId="15" applyFont="1" applyAlignment="1">
      <alignment horizontal="center" wrapText="1"/>
    </xf>
    <xf numFmtId="0" fontId="3" fillId="3" borderId="0" xfId="15" applyFont="1" applyFill="1"/>
    <xf numFmtId="165" fontId="3" fillId="3" borderId="0" xfId="1" applyNumberFormat="1" applyFont="1" applyFill="1" applyAlignment="1">
      <alignment horizontal="center"/>
    </xf>
    <xf numFmtId="164" fontId="11" fillId="3" borderId="0" xfId="0" applyFont="1" applyFill="1"/>
    <xf numFmtId="165" fontId="3" fillId="0" borderId="0" xfId="1" applyNumberFormat="1" applyFont="1" applyAlignment="1">
      <alignment horizontal="center" wrapText="1"/>
    </xf>
    <xf numFmtId="0" fontId="3" fillId="3" borderId="13" xfId="15" applyFont="1" applyFill="1" applyBorder="1"/>
    <xf numFmtId="165" fontId="3" fillId="3" borderId="13" xfId="1" applyNumberFormat="1" applyFont="1" applyFill="1" applyBorder="1"/>
    <xf numFmtId="165" fontId="3" fillId="3" borderId="13" xfId="1" applyNumberFormat="1" applyFont="1" applyFill="1" applyBorder="1" applyAlignment="1">
      <alignment horizontal="center"/>
    </xf>
    <xf numFmtId="164" fontId="11" fillId="3" borderId="13" xfId="0" applyFont="1" applyFill="1" applyBorder="1"/>
    <xf numFmtId="165" fontId="3" fillId="0" borderId="13" xfId="1" applyNumberFormat="1" applyFont="1" applyBorder="1" applyAlignment="1">
      <alignment horizontal="center" wrapText="1"/>
    </xf>
    <xf numFmtId="0" fontId="9" fillId="0" borderId="0" xfId="0" applyNumberFormat="1" applyFont="1" applyAlignment="1">
      <alignment horizontal="center"/>
    </xf>
    <xf numFmtId="164" fontId="9" fillId="0" borderId="0" xfId="0" applyFont="1" applyAlignment="1">
      <alignment horizontal="center"/>
    </xf>
    <xf numFmtId="44" fontId="9" fillId="0" borderId="0" xfId="0" applyNumberFormat="1" applyFont="1"/>
    <xf numFmtId="164" fontId="3" fillId="0" borderId="0" xfId="0" applyFont="1" applyAlignment="1">
      <alignment horizontal="left" vertical="center" wrapText="1"/>
    </xf>
    <xf numFmtId="0" fontId="3" fillId="0" borderId="0" xfId="0" applyNumberFormat="1" applyFont="1"/>
    <xf numFmtId="164" fontId="3" fillId="0" borderId="0" xfId="0" applyFont="1" applyAlignment="1">
      <alignment vertical="center" wrapText="1"/>
    </xf>
    <xf numFmtId="164" fontId="3" fillId="0" borderId="0" xfId="0" applyFont="1" applyAlignment="1">
      <alignment horizontal="left" vertical="center" wrapText="1"/>
    </xf>
    <xf numFmtId="0" fontId="3" fillId="0" borderId="0" xfId="4" applyFont="1" applyAlignment="1">
      <alignment horizontal="left" vertical="top" wrapText="1"/>
    </xf>
    <xf numFmtId="0" fontId="9" fillId="0" borderId="0" xfId="4" applyFont="1" applyAlignment="1">
      <alignment horizontal="left" vertical="top" wrapText="1"/>
    </xf>
    <xf numFmtId="0" fontId="3" fillId="0" borderId="0" xfId="0" applyNumberFormat="1" applyFont="1" applyAlignment="1">
      <alignment vertical="top"/>
    </xf>
    <xf numFmtId="0" fontId="3" fillId="0" borderId="0" xfId="5" quotePrefix="1" applyNumberFormat="1" applyFont="1" applyProtection="1">
      <protection locked="0"/>
    </xf>
    <xf numFmtId="0" fontId="7" fillId="0" borderId="0" xfId="16" applyFont="1"/>
    <xf numFmtId="0" fontId="7" fillId="0" borderId="0" xfId="16" applyFont="1" applyAlignment="1">
      <alignment horizontal="center"/>
    </xf>
    <xf numFmtId="0" fontId="7" fillId="3" borderId="0" xfId="16" applyFont="1" applyFill="1" applyAlignment="1">
      <alignment horizontal="center"/>
    </xf>
    <xf numFmtId="0" fontId="22" fillId="0" borderId="0" xfId="16" applyFont="1"/>
    <xf numFmtId="0" fontId="22" fillId="0" borderId="0" xfId="16" applyFont="1" applyAlignment="1">
      <alignment horizontal="right"/>
    </xf>
    <xf numFmtId="0" fontId="23" fillId="3" borderId="0" xfId="16" applyFont="1" applyFill="1"/>
    <xf numFmtId="0" fontId="24" fillId="0" borderId="0" xfId="16" applyFont="1"/>
    <xf numFmtId="0" fontId="24" fillId="0" borderId="0" xfId="16" applyFont="1" applyAlignment="1">
      <alignment vertical="center"/>
    </xf>
    <xf numFmtId="0" fontId="24" fillId="0" borderId="10" xfId="16" applyFont="1" applyBorder="1" applyAlignment="1">
      <alignment horizontal="center" vertical="center"/>
    </xf>
    <xf numFmtId="0" fontId="24" fillId="0" borderId="6" xfId="16" applyFont="1" applyBorder="1" applyAlignment="1">
      <alignment horizontal="center" vertical="center"/>
    </xf>
    <xf numFmtId="0" fontId="24" fillId="0" borderId="15" xfId="16" applyFont="1" applyBorder="1" applyAlignment="1">
      <alignment horizontal="center" vertical="center"/>
    </xf>
    <xf numFmtId="0" fontId="24" fillId="0" borderId="0" xfId="16" applyFont="1" applyAlignment="1">
      <alignment horizontal="center" vertical="center" wrapText="1"/>
    </xf>
    <xf numFmtId="0" fontId="24" fillId="0" borderId="4" xfId="16" applyFont="1" applyBorder="1" applyAlignment="1">
      <alignment horizontal="center" vertical="center"/>
    </xf>
    <xf numFmtId="0" fontId="24" fillId="0" borderId="5" xfId="16" applyFont="1" applyBorder="1" applyAlignment="1">
      <alignment horizontal="center" vertical="center"/>
    </xf>
    <xf numFmtId="0" fontId="24" fillId="0" borderId="18" xfId="16" applyFont="1" applyBorder="1" applyAlignment="1">
      <alignment horizontal="center" vertical="center"/>
    </xf>
    <xf numFmtId="0" fontId="24" fillId="0" borderId="11" xfId="16" applyFont="1" applyBorder="1" applyAlignment="1">
      <alignment horizontal="center" vertical="center"/>
    </xf>
    <xf numFmtId="0" fontId="24" fillId="0" borderId="0" xfId="16" applyFont="1" applyAlignment="1">
      <alignment horizontal="center" vertical="center"/>
    </xf>
    <xf numFmtId="0" fontId="22" fillId="0" borderId="14" xfId="16" applyFont="1" applyBorder="1" applyAlignment="1">
      <alignment horizontal="center" vertical="center" wrapText="1"/>
    </xf>
    <xf numFmtId="0" fontId="22" fillId="0" borderId="0" xfId="16" applyFont="1" applyAlignment="1">
      <alignment horizontal="center" vertical="center" wrapText="1"/>
    </xf>
    <xf numFmtId="0" fontId="22" fillId="0" borderId="0" xfId="16" applyFont="1" applyAlignment="1">
      <alignment horizontal="left" vertical="center"/>
    </xf>
    <xf numFmtId="15" fontId="22" fillId="0" borderId="0" xfId="16" applyNumberFormat="1" applyFont="1" applyAlignment="1">
      <alignment vertical="center" wrapText="1"/>
    </xf>
    <xf numFmtId="165" fontId="22" fillId="0" borderId="0" xfId="17" applyNumberFormat="1" applyFont="1" applyAlignment="1">
      <alignment horizontal="right" vertical="center" wrapText="1"/>
    </xf>
    <xf numFmtId="165" fontId="22" fillId="0" borderId="0" xfId="17" applyNumberFormat="1" applyFont="1" applyAlignment="1">
      <alignment vertical="center" wrapText="1"/>
    </xf>
    <xf numFmtId="165" fontId="22" fillId="3" borderId="0" xfId="17" applyNumberFormat="1" applyFont="1" applyFill="1" applyAlignment="1">
      <alignment vertical="center" wrapText="1"/>
    </xf>
    <xf numFmtId="165" fontId="22" fillId="3" borderId="0" xfId="17" applyNumberFormat="1" applyFont="1" applyFill="1" applyAlignment="1">
      <alignment horizontal="right" vertical="center" wrapText="1"/>
    </xf>
    <xf numFmtId="165" fontId="22" fillId="0" borderId="0" xfId="18" applyNumberFormat="1" applyFont="1"/>
    <xf numFmtId="43" fontId="22" fillId="0" borderId="0" xfId="1" applyFont="1"/>
    <xf numFmtId="0" fontId="22" fillId="0" borderId="6" xfId="16" applyFont="1" applyBorder="1" applyAlignment="1">
      <alignment vertical="center" wrapText="1"/>
    </xf>
    <xf numFmtId="165" fontId="22" fillId="0" borderId="6" xfId="16" applyNumberFormat="1" applyFont="1" applyBorder="1" applyAlignment="1">
      <alignment vertical="center" wrapText="1"/>
    </xf>
    <xf numFmtId="0" fontId="22" fillId="0" borderId="6" xfId="16" applyFont="1" applyBorder="1" applyAlignment="1">
      <alignment horizontal="right" vertical="center" wrapText="1"/>
    </xf>
    <xf numFmtId="165" fontId="22" fillId="0" borderId="6" xfId="17" applyNumberFormat="1" applyFont="1" applyBorder="1" applyAlignment="1">
      <alignment vertical="center" wrapText="1"/>
    </xf>
    <xf numFmtId="0" fontId="22" fillId="0" borderId="0" xfId="16" applyFont="1" applyAlignment="1">
      <alignment horizontal="right" vertical="center" wrapText="1"/>
    </xf>
    <xf numFmtId="0" fontId="22" fillId="0" borderId="0" xfId="16" applyFont="1" applyAlignment="1">
      <alignment vertical="center" wrapText="1"/>
    </xf>
    <xf numFmtId="0" fontId="22" fillId="0" borderId="0" xfId="16" applyFont="1" applyAlignment="1">
      <alignment horizontal="justify" vertical="center" wrapText="1"/>
    </xf>
    <xf numFmtId="165" fontId="24" fillId="0" borderId="0" xfId="16" applyNumberFormat="1" applyFont="1"/>
    <xf numFmtId="165" fontId="24" fillId="0" borderId="0" xfId="17" applyNumberFormat="1" applyFont="1" applyAlignment="1">
      <alignment vertical="center" wrapText="1"/>
    </xf>
    <xf numFmtId="165" fontId="22" fillId="0" borderId="0" xfId="1" applyNumberFormat="1" applyFont="1"/>
    <xf numFmtId="165" fontId="17" fillId="0" borderId="0" xfId="1" applyNumberFormat="1" applyFont="1" applyAlignment="1">
      <alignment horizontal="center"/>
    </xf>
    <xf numFmtId="182" fontId="22" fillId="0" borderId="0" xfId="1" applyNumberFormat="1" applyFont="1" applyAlignment="1">
      <alignment horizontal="right" vertical="center" wrapText="1"/>
    </xf>
    <xf numFmtId="165" fontId="22" fillId="0" borderId="0" xfId="16" applyNumberFormat="1" applyFont="1"/>
    <xf numFmtId="0" fontId="25" fillId="0" borderId="0" xfId="16" applyFont="1"/>
    <xf numFmtId="43" fontId="22" fillId="0" borderId="0" xfId="16" applyNumberFormat="1" applyFont="1"/>
    <xf numFmtId="0" fontId="26" fillId="0" borderId="0" xfId="15" applyFont="1" applyAlignment="1">
      <alignment horizontal="left" indent="1"/>
    </xf>
    <xf numFmtId="165" fontId="22" fillId="0" borderId="6" xfId="19" applyNumberFormat="1" applyFont="1" applyBorder="1" applyAlignment="1">
      <alignment vertical="center" wrapText="1"/>
    </xf>
    <xf numFmtId="43" fontId="24" fillId="0" borderId="0" xfId="16" applyNumberFormat="1" applyFont="1"/>
    <xf numFmtId="0" fontId="28" fillId="0" borderId="0" xfId="16" applyFont="1"/>
    <xf numFmtId="49" fontId="11" fillId="0" borderId="0" xfId="0" applyNumberFormat="1" applyFont="1" applyAlignment="1">
      <alignment horizontal="center"/>
    </xf>
    <xf numFmtId="49" fontId="3" fillId="0" borderId="0" xfId="0" applyNumberFormat="1" applyFont="1" applyAlignment="1">
      <alignment horizontal="center" vertical="center" wrapText="1"/>
    </xf>
    <xf numFmtId="0" fontId="3" fillId="0" borderId="0" xfId="13" applyFont="1" applyAlignment="1">
      <alignment horizontal="center" vertical="center" wrapText="1"/>
    </xf>
    <xf numFmtId="164" fontId="3" fillId="0" borderId="0" xfId="0" applyFont="1" applyAlignment="1">
      <alignment horizontal="center" vertical="center" wrapText="1"/>
    </xf>
    <xf numFmtId="0" fontId="9" fillId="0" borderId="0" xfId="13" applyFont="1" applyAlignment="1">
      <alignment horizontal="center" vertical="center" wrapText="1"/>
    </xf>
    <xf numFmtId="0" fontId="3" fillId="0" borderId="0" xfId="13" applyFont="1" applyAlignment="1">
      <alignment horizontal="center"/>
    </xf>
    <xf numFmtId="49" fontId="3" fillId="0" borderId="0" xfId="0" applyNumberFormat="1" applyFont="1" applyAlignment="1">
      <alignment horizontal="center"/>
    </xf>
    <xf numFmtId="0" fontId="9" fillId="0" borderId="0" xfId="13" applyFont="1" applyAlignment="1">
      <alignment horizontal="center"/>
    </xf>
    <xf numFmtId="0" fontId="3" fillId="0" borderId="0" xfId="13" applyFont="1" applyAlignment="1">
      <alignment horizontal="center" wrapText="1"/>
    </xf>
    <xf numFmtId="164" fontId="3" fillId="0" borderId="0" xfId="0" applyFont="1" applyAlignment="1">
      <alignment horizontal="center" wrapText="1"/>
    </xf>
    <xf numFmtId="164" fontId="11" fillId="0" borderId="0" xfId="0" applyFont="1" applyAlignment="1">
      <alignment horizontal="center"/>
    </xf>
    <xf numFmtId="0" fontId="3" fillId="0" borderId="0" xfId="13" applyFont="1" applyAlignment="1">
      <alignment wrapText="1"/>
    </xf>
    <xf numFmtId="0" fontId="3" fillId="0" borderId="0" xfId="13" applyFont="1"/>
    <xf numFmtId="165" fontId="3" fillId="2" borderId="0" xfId="1" applyNumberFormat="1" applyFont="1" applyFill="1" applyAlignment="1">
      <alignment horizontal="right"/>
    </xf>
    <xf numFmtId="43" fontId="29" fillId="0" borderId="0" xfId="1" applyFont="1"/>
    <xf numFmtId="0" fontId="3" fillId="0" borderId="6" xfId="13" applyFont="1" applyBorder="1"/>
    <xf numFmtId="181" fontId="3" fillId="0" borderId="6" xfId="2" applyNumberFormat="1" applyFont="1" applyBorder="1"/>
    <xf numFmtId="181" fontId="9" fillId="0" borderId="0" xfId="2" applyNumberFormat="1" applyFont="1"/>
    <xf numFmtId="165" fontId="3" fillId="0" borderId="0" xfId="13" applyNumberFormat="1" applyFont="1"/>
    <xf numFmtId="0" fontId="9" fillId="0" borderId="0" xfId="13" applyFont="1"/>
    <xf numFmtId="43" fontId="3" fillId="2" borderId="0" xfId="1" applyFont="1" applyFill="1"/>
    <xf numFmtId="164" fontId="10" fillId="0" borderId="0" xfId="0" applyFont="1"/>
    <xf numFmtId="164" fontId="10" fillId="0" borderId="0" xfId="5" applyFont="1" applyAlignment="1">
      <alignment horizontal="center" wrapText="1"/>
    </xf>
    <xf numFmtId="0" fontId="10" fillId="0" borderId="0" xfId="5" applyNumberFormat="1" applyFont="1" applyAlignment="1" applyProtection="1">
      <alignment horizontal="center" wrapText="1"/>
      <protection locked="0"/>
    </xf>
    <xf numFmtId="0" fontId="10" fillId="0" borderId="0" xfId="4" applyFont="1" applyAlignment="1">
      <alignment horizontal="center" vertical="center" wrapText="1"/>
    </xf>
    <xf numFmtId="0" fontId="10" fillId="0" borderId="0" xfId="5" applyNumberFormat="1" applyFont="1" applyAlignment="1">
      <alignment horizontal="center" wrapText="1"/>
    </xf>
    <xf numFmtId="1" fontId="3" fillId="0" borderId="0" xfId="0" applyNumberFormat="1" applyFont="1" applyAlignment="1">
      <alignment horizontal="center"/>
    </xf>
    <xf numFmtId="3" fontId="17" fillId="0" borderId="0" xfId="0" applyNumberFormat="1" applyFont="1"/>
    <xf numFmtId="3" fontId="17" fillId="0" borderId="1" xfId="0" applyNumberFormat="1" applyFont="1" applyBorder="1" applyAlignment="1">
      <alignment horizontal="center"/>
    </xf>
    <xf numFmtId="43" fontId="3" fillId="0" borderId="0" xfId="13" applyNumberFormat="1" applyFont="1"/>
    <xf numFmtId="165" fontId="17" fillId="2" borderId="0" xfId="1" applyNumberFormat="1" applyFont="1" applyFill="1"/>
    <xf numFmtId="0" fontId="17" fillId="0" borderId="0" xfId="0" applyNumberFormat="1" applyFont="1" applyProtection="1">
      <protection locked="0"/>
    </xf>
    <xf numFmtId="165" fontId="17" fillId="0" borderId="0" xfId="1" applyNumberFormat="1" applyFont="1" applyProtection="1">
      <protection locked="0"/>
    </xf>
    <xf numFmtId="165" fontId="17" fillId="2" borderId="1" xfId="1" applyNumberFormat="1" applyFont="1" applyFill="1" applyBorder="1"/>
    <xf numFmtId="3" fontId="17" fillId="0" borderId="0" xfId="0" applyNumberFormat="1" applyFont="1" applyAlignment="1">
      <alignment horizontal="center"/>
    </xf>
    <xf numFmtId="10" fontId="3" fillId="3" borderId="0" xfId="1" applyNumberFormat="1" applyFont="1" applyFill="1"/>
    <xf numFmtId="165" fontId="3" fillId="3" borderId="1" xfId="1" applyNumberFormat="1" applyFont="1" applyFill="1" applyBorder="1" applyAlignment="1">
      <alignment horizontal="center"/>
    </xf>
    <xf numFmtId="164" fontId="3" fillId="4" borderId="0" xfId="0" applyFont="1" applyFill="1"/>
    <xf numFmtId="0" fontId="18" fillId="0" borderId="0" xfId="20" applyFont="1" applyAlignment="1">
      <alignment horizontal="center"/>
    </xf>
    <xf numFmtId="183" fontId="18" fillId="0" borderId="0" xfId="3" applyNumberFormat="1" applyFont="1" applyAlignment="1">
      <alignment horizontal="center"/>
    </xf>
    <xf numFmtId="1" fontId="18" fillId="0" borderId="0" xfId="6" applyNumberFormat="1" applyFont="1" applyAlignment="1">
      <alignment horizontal="left"/>
    </xf>
    <xf numFmtId="164" fontId="31" fillId="0" borderId="0" xfId="6" quotePrefix="1" applyFont="1" applyAlignment="1">
      <alignment horizontal="left"/>
    </xf>
    <xf numFmtId="164" fontId="32" fillId="0" borderId="0" xfId="6" applyFont="1"/>
    <xf numFmtId="0" fontId="33" fillId="0" borderId="0" xfId="20" applyFont="1" applyAlignment="1">
      <alignment horizontal="center" wrapText="1"/>
    </xf>
    <xf numFmtId="164" fontId="18" fillId="0" borderId="0" xfId="6" applyFont="1"/>
    <xf numFmtId="164" fontId="18" fillId="0" borderId="0" xfId="6" quotePrefix="1" applyFont="1" applyAlignment="1">
      <alignment horizontal="left"/>
    </xf>
    <xf numFmtId="43" fontId="18" fillId="0" borderId="0" xfId="1" applyFont="1"/>
    <xf numFmtId="10" fontId="34" fillId="2" borderId="0" xfId="20" applyNumberFormat="1" applyFont="1" applyFill="1"/>
    <xf numFmtId="43" fontId="33" fillId="0" borderId="0" xfId="1" applyFont="1"/>
    <xf numFmtId="0" fontId="33" fillId="0" borderId="0" xfId="20" applyFont="1" applyAlignment="1">
      <alignment horizontal="center"/>
    </xf>
    <xf numFmtId="0" fontId="33" fillId="0" borderId="0" xfId="20" applyFont="1"/>
    <xf numFmtId="10" fontId="34" fillId="0" borderId="0" xfId="20" applyNumberFormat="1" applyFont="1"/>
    <xf numFmtId="10" fontId="33" fillId="0" borderId="0" xfId="20" applyNumberFormat="1" applyFont="1"/>
    <xf numFmtId="43" fontId="33" fillId="0" borderId="13" xfId="1" applyFont="1" applyBorder="1"/>
    <xf numFmtId="0" fontId="35" fillId="0" borderId="0" xfId="20" applyFont="1"/>
    <xf numFmtId="164" fontId="18" fillId="0" borderId="0" xfId="6" applyFont="1" applyAlignment="1">
      <alignment horizontal="left"/>
    </xf>
    <xf numFmtId="43" fontId="18" fillId="0" borderId="13" xfId="1" applyFont="1" applyBorder="1"/>
    <xf numFmtId="164" fontId="3" fillId="0" borderId="0" xfId="0" applyFont="1" applyAlignment="1">
      <alignment horizontal="center"/>
    </xf>
    <xf numFmtId="181" fontId="3" fillId="0" borderId="0" xfId="2" applyNumberFormat="1" applyFont="1"/>
    <xf numFmtId="164" fontId="3" fillId="0" borderId="4" xfId="0" applyFont="1" applyBorder="1" applyAlignment="1">
      <alignment horizontal="center"/>
    </xf>
    <xf numFmtId="164" fontId="3" fillId="0" borderId="5" xfId="0" applyFont="1" applyBorder="1" applyAlignment="1">
      <alignment horizontal="center"/>
    </xf>
    <xf numFmtId="164" fontId="3" fillId="0" borderId="18" xfId="0" applyFont="1" applyBorder="1" applyAlignment="1">
      <alignment horizontal="center"/>
    </xf>
    <xf numFmtId="164" fontId="3" fillId="0" borderId="15" xfId="0" applyFont="1" applyBorder="1" applyAlignment="1">
      <alignment horizontal="center"/>
    </xf>
    <xf numFmtId="164" fontId="3" fillId="0" borderId="17" xfId="0" applyFont="1" applyBorder="1"/>
    <xf numFmtId="164" fontId="3" fillId="0" borderId="17" xfId="0" applyFont="1" applyBorder="1" applyAlignment="1">
      <alignment horizontal="center"/>
    </xf>
    <xf numFmtId="164" fontId="3" fillId="0" borderId="8" xfId="0" applyFont="1" applyBorder="1" applyAlignment="1">
      <alignment horizontal="center"/>
    </xf>
    <xf numFmtId="164" fontId="3" fillId="0" borderId="17" xfId="0" applyFont="1" applyBorder="1" applyAlignment="1">
      <alignment horizontal="center"/>
    </xf>
    <xf numFmtId="164" fontId="3" fillId="0" borderId="12" xfId="0" applyFont="1" applyBorder="1" applyAlignment="1">
      <alignment horizontal="center"/>
    </xf>
    <xf numFmtId="164" fontId="3" fillId="0" borderId="13" xfId="0" applyFont="1" applyBorder="1" applyAlignment="1">
      <alignment horizontal="center"/>
    </xf>
    <xf numFmtId="164" fontId="19" fillId="0" borderId="13" xfId="6" applyFont="1" applyBorder="1" applyAlignment="1">
      <alignment horizontal="center"/>
    </xf>
    <xf numFmtId="164" fontId="3" fillId="0" borderId="16" xfId="0" applyFont="1" applyBorder="1" applyAlignment="1">
      <alignment horizontal="center"/>
    </xf>
    <xf numFmtId="43" fontId="3" fillId="3" borderId="0" xfId="1" applyFont="1" applyFill="1" applyAlignment="1">
      <alignment horizontal="center"/>
    </xf>
    <xf numFmtId="164" fontId="3" fillId="3" borderId="17" xfId="0" applyFont="1" applyFill="1" applyBorder="1"/>
    <xf numFmtId="164" fontId="3" fillId="0" borderId="8" xfId="0" applyFont="1" applyBorder="1"/>
    <xf numFmtId="43" fontId="3" fillId="0" borderId="8" xfId="1" applyFont="1" applyBorder="1"/>
    <xf numFmtId="184" fontId="3" fillId="0" borderId="9" xfId="1" applyNumberFormat="1" applyFont="1" applyBorder="1"/>
    <xf numFmtId="10" fontId="3" fillId="0" borderId="13" xfId="3" applyNumberFormat="1" applyFont="1" applyBorder="1"/>
    <xf numFmtId="181" fontId="3" fillId="0" borderId="13" xfId="2" applyNumberFormat="1" applyFont="1" applyBorder="1"/>
    <xf numFmtId="43" fontId="3" fillId="0" borderId="12" xfId="1" applyFont="1" applyBorder="1"/>
    <xf numFmtId="164" fontId="0" fillId="0" borderId="0" xfId="0" applyAlignment="1">
      <alignment horizontal="center"/>
    </xf>
    <xf numFmtId="164" fontId="0" fillId="0" borderId="0" xfId="0" applyAlignment="1">
      <alignment horizontal="right"/>
    </xf>
    <xf numFmtId="164" fontId="18" fillId="0" borderId="0" xfId="6" applyFont="1" applyAlignment="1">
      <alignment horizontal="center"/>
    </xf>
    <xf numFmtId="164" fontId="36" fillId="0" borderId="0" xfId="0" applyFont="1"/>
    <xf numFmtId="0" fontId="2" fillId="0" borderId="19" xfId="15" applyBorder="1" applyAlignment="1">
      <alignment horizontal="center"/>
    </xf>
    <xf numFmtId="0" fontId="37" fillId="0" borderId="0" xfId="15" applyFont="1" applyAlignment="1">
      <alignment horizontal="left"/>
    </xf>
    <xf numFmtId="0" fontId="2" fillId="0" borderId="0" xfId="15"/>
    <xf numFmtId="0" fontId="2" fillId="0" borderId="0" xfId="15" applyAlignment="1">
      <alignment horizontal="center"/>
    </xf>
    <xf numFmtId="49" fontId="2" fillId="0" borderId="0" xfId="15" applyNumberFormat="1" applyAlignment="1">
      <alignment horizontal="center"/>
    </xf>
    <xf numFmtId="0" fontId="39" fillId="0" borderId="0" xfId="21" applyFont="1" applyAlignment="1">
      <alignment horizontal="center"/>
    </xf>
    <xf numFmtId="3" fontId="3" fillId="0" borderId="0" xfId="15" applyNumberFormat="1" applyFont="1"/>
    <xf numFmtId="164" fontId="10" fillId="0" borderId="13" xfId="6" applyFont="1" applyBorder="1" applyAlignment="1">
      <alignment horizontal="center" wrapText="1"/>
    </xf>
    <xf numFmtId="164" fontId="10" fillId="0" borderId="0" xfId="6" applyFont="1" applyAlignment="1">
      <alignment horizontal="center" wrapText="1"/>
    </xf>
    <xf numFmtId="0" fontId="3" fillId="0" borderId="0" xfId="22" applyFont="1"/>
    <xf numFmtId="164" fontId="3" fillId="0" borderId="0" xfId="1" applyNumberFormat="1" applyFont="1"/>
    <xf numFmtId="43" fontId="3" fillId="2" borderId="0" xfId="1" applyFont="1" applyFill="1" applyAlignment="1">
      <alignment horizontal="right"/>
    </xf>
    <xf numFmtId="0" fontId="3" fillId="0" borderId="0" xfId="22" applyFont="1" applyAlignment="1">
      <alignment wrapText="1"/>
    </xf>
    <xf numFmtId="164" fontId="3" fillId="2" borderId="0" xfId="0" applyFont="1" applyFill="1"/>
    <xf numFmtId="164" fontId="2" fillId="0" borderId="0" xfId="6" applyFont="1"/>
    <xf numFmtId="164" fontId="2" fillId="0" borderId="1" xfId="6" applyFont="1" applyBorder="1"/>
    <xf numFmtId="164" fontId="2" fillId="0" borderId="0" xfId="6" applyFont="1" applyAlignment="1">
      <alignment horizontal="center" vertical="top"/>
    </xf>
    <xf numFmtId="164" fontId="2" fillId="0" borderId="0" xfId="6" applyFont="1" applyAlignment="1">
      <alignment horizontal="left"/>
    </xf>
    <xf numFmtId="164" fontId="2" fillId="0" borderId="0" xfId="6" applyFont="1" applyAlignment="1">
      <alignment vertical="top"/>
    </xf>
    <xf numFmtId="164" fontId="3" fillId="0" borderId="0" xfId="6" applyFont="1" applyAlignment="1">
      <alignment vertical="top"/>
    </xf>
    <xf numFmtId="0" fontId="2" fillId="0" borderId="0" xfId="0" applyNumberFormat="1" applyFont="1" applyAlignment="1">
      <alignment horizontal="center" vertical="center"/>
    </xf>
    <xf numFmtId="164" fontId="2" fillId="0" borderId="0" xfId="0" applyFont="1"/>
    <xf numFmtId="0" fontId="3" fillId="0" borderId="0" xfId="6" applyNumberFormat="1" applyFont="1" applyAlignment="1" applyProtection="1">
      <alignment horizontal="right"/>
      <protection locked="0"/>
    </xf>
    <xf numFmtId="0" fontId="3" fillId="0" borderId="0" xfId="6" applyNumberFormat="1" applyFont="1" applyAlignment="1" applyProtection="1">
      <alignment horizontal="center"/>
      <protection locked="0"/>
    </xf>
    <xf numFmtId="0" fontId="3" fillId="0" borderId="0" xfId="0" applyNumberFormat="1" applyFont="1" applyAlignment="1">
      <alignment horizontal="center"/>
    </xf>
    <xf numFmtId="10" fontId="3" fillId="0" borderId="0" xfId="3" applyNumberFormat="1" applyFont="1" applyAlignment="1">
      <alignment horizontal="center"/>
    </xf>
    <xf numFmtId="165" fontId="40" fillId="0" borderId="0" xfId="1" applyNumberFormat="1" applyFont="1" applyAlignment="1">
      <alignment horizontal="center"/>
    </xf>
    <xf numFmtId="164" fontId="40" fillId="0" borderId="0" xfId="0" applyFont="1"/>
    <xf numFmtId="43" fontId="42" fillId="0" borderId="0" xfId="1" applyFont="1"/>
    <xf numFmtId="0" fontId="40" fillId="0" borderId="0" xfId="1" applyNumberFormat="1" applyFont="1" applyAlignment="1">
      <alignment horizontal="center"/>
    </xf>
    <xf numFmtId="49" fontId="40" fillId="0" borderId="0" xfId="1" applyNumberFormat="1" applyFont="1"/>
    <xf numFmtId="39" fontId="40" fillId="0" borderId="0" xfId="1" applyNumberFormat="1" applyFont="1" applyAlignment="1">
      <alignment horizontal="right"/>
    </xf>
    <xf numFmtId="49" fontId="40" fillId="0" borderId="0" xfId="0" applyNumberFormat="1" applyFont="1"/>
    <xf numFmtId="43" fontId="40" fillId="0" borderId="0" xfId="1" applyFont="1"/>
    <xf numFmtId="2" fontId="40" fillId="0" borderId="0" xfId="0" applyNumberFormat="1" applyFont="1"/>
    <xf numFmtId="164" fontId="40" fillId="0" borderId="0" xfId="0" applyFont="1" applyAlignment="1">
      <alignment vertical="center" wrapText="1"/>
    </xf>
    <xf numFmtId="164" fontId="44" fillId="4" borderId="0" xfId="0" applyFont="1" applyFill="1"/>
    <xf numFmtId="164" fontId="46" fillId="4" borderId="0" xfId="0" applyFont="1" applyFill="1"/>
    <xf numFmtId="164" fontId="2" fillId="4" borderId="0" xfId="0" applyFont="1" applyFill="1"/>
    <xf numFmtId="2" fontId="44" fillId="0" borderId="0" xfId="0" applyNumberFormat="1" applyFont="1" applyAlignment="1">
      <alignment horizontal="center"/>
    </xf>
    <xf numFmtId="10" fontId="44" fillId="0" borderId="0" xfId="3" applyNumberFormat="1" applyFont="1" applyAlignment="1">
      <alignment horizontal="center"/>
    </xf>
    <xf numFmtId="164" fontId="47" fillId="0" borderId="0" xfId="0" applyFont="1"/>
    <xf numFmtId="164" fontId="44" fillId="0" borderId="0" xfId="0" applyFont="1"/>
    <xf numFmtId="10" fontId="40" fillId="0" borderId="0" xfId="3" applyNumberFormat="1" applyFont="1" applyAlignment="1">
      <alignment horizontal="center"/>
    </xf>
    <xf numFmtId="2" fontId="3" fillId="0" borderId="0" xfId="0" applyNumberFormat="1" applyFont="1" applyAlignment="1">
      <alignment horizontal="center"/>
    </xf>
    <xf numFmtId="164" fontId="40" fillId="0" borderId="0" xfId="0" applyFont="1" applyAlignment="1">
      <alignment horizontal="left"/>
    </xf>
    <xf numFmtId="164" fontId="3" fillId="0" borderId="0" xfId="0" applyFont="1" applyAlignment="1">
      <alignment horizontal="left"/>
    </xf>
    <xf numFmtId="10" fontId="3" fillId="0" borderId="0" xfId="3" applyNumberFormat="1" applyFont="1" applyAlignment="1">
      <alignment horizontal="center"/>
    </xf>
    <xf numFmtId="2" fontId="3" fillId="0" borderId="0" xfId="0" applyNumberFormat="1" applyFont="1"/>
  </cellXfs>
  <cellStyles count="23">
    <cellStyle name="Comma" xfId="1" builtinId="3"/>
    <cellStyle name="Comma 12" xfId="17" xr:uid="{8847E2D3-C74A-4E22-A1B2-AD0ED35B861E}"/>
    <cellStyle name="Comma 5 2" xfId="18" xr:uid="{E6828820-EE3E-4698-ACD7-C74FAD9B9424}"/>
    <cellStyle name="Comma 8" xfId="19" xr:uid="{A8330DA2-344F-4E84-97DB-FDE1AC932517}"/>
    <cellStyle name="Currency" xfId="2" builtinId="4"/>
    <cellStyle name="Normal" xfId="0" builtinId="0"/>
    <cellStyle name="Normal 12" xfId="16" xr:uid="{874DBED7-8EE1-41B7-81FF-C58BF6F88128}"/>
    <cellStyle name="Normal 13" xfId="8" xr:uid="{237F3F3C-C7DD-482B-AF10-5EB5CFD1771D}"/>
    <cellStyle name="Normal 2 2" xfId="21" xr:uid="{C60687D7-D6BE-4F63-9BB1-824B1009A000}"/>
    <cellStyle name="Normal 3 2" xfId="15" xr:uid="{E849C8A3-0FE7-4ECA-AB0A-9B466B9A80B8}"/>
    <cellStyle name="Normal 3_Attach O, GG, Support -New Method 2-14-11" xfId="4" xr:uid="{608BE13D-4585-4ACC-BFF3-169EA6AC1EC0}"/>
    <cellStyle name="Normal 5" xfId="13" xr:uid="{94C44E10-0A4C-482D-91CE-C525ECFF51FB}"/>
    <cellStyle name="Normal 7" xfId="6" xr:uid="{A895AD2E-AF05-4DC6-91C3-3F7BDF9D4E75}"/>
    <cellStyle name="Normal 9" xfId="22" xr:uid="{7ECD606E-9DEE-49B9-847B-D5718E7CC889}"/>
    <cellStyle name="Normal_21 Exh B" xfId="7" xr:uid="{94DEECF2-E69A-48B8-80F0-CE25FBE3D8DF}"/>
    <cellStyle name="Normal_ATC Projected 2008 Monthly Plant Balances for Attachment O 2 (2)" xfId="14" xr:uid="{697595D0-466A-4148-8428-A8C595830B34}"/>
    <cellStyle name="Normal_Attachment GG Example 8 26 09" xfId="10" xr:uid="{9AAB1F40-9777-4844-9854-A08E30F4F8E1}"/>
    <cellStyle name="Normal_Attachment GG Template ER11-28 11-18-10" xfId="9" xr:uid="{DECC5F77-714F-4B9E-8A51-3C88F8E91C56}"/>
    <cellStyle name="Normal_Attachment O Support - 2004 True-up" xfId="11" xr:uid="{C20D6760-6CB0-458A-90B7-38B2E42201F5}"/>
    <cellStyle name="Normal_Attachment Os for 2002 True-up" xfId="5" xr:uid="{681925DE-7607-479E-B633-FE9A27710B41}"/>
    <cellStyle name="Normal_interest calc Book1" xfId="20" xr:uid="{221E9C32-0C05-42F0-B14C-3BE8F1983E29}"/>
    <cellStyle name="Normal_Schedule O Info for Mike" xfId="12" xr:uid="{9EE8DDE9-7F2F-44EA-8499-A951607713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ET%20MA%202020%20Formula%20Rate%20Nov%201%202020%20-%20Dec%2031%202020Actual%20-%20Sup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isf05\vol7\Tax\Accruals\2010\2010&#173;_Tax%20Accr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wmqinc-my.sharepoint.com/tariffs/2000/formula%20rates/NSP%20xcelcoss%20m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misf05\vol7\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s>
    <sheetDataSet>
      <sheetData sheetId="0" refreshError="1"/>
      <sheetData sheetId="1">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6.2848648648648656E-2</v>
          </cell>
        </row>
      </sheetData>
      <sheetData sheetId="16"/>
      <sheetData sheetId="17" refreshError="1"/>
      <sheetData sheetId="18"/>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3.2199999999999999E-2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ow r="18">
          <cell r="F18">
            <v>3.2199999999999999E-2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ow r="1">
          <cell r="B1">
            <v>39083</v>
          </cell>
        </row>
        <row r="3">
          <cell r="B3">
            <v>8.2500000000000004E-2</v>
          </cell>
        </row>
        <row r="4">
          <cell r="B4">
            <v>4.4999999999999998E-2</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ttachment H"/>
      <sheetName val="1-Project Rev Req"/>
      <sheetName val="2-Incentive ROE"/>
      <sheetName val="3-Project True-up"/>
      <sheetName val="4- Rate Base"/>
      <sheetName val="4a-Projection ADIT"/>
      <sheetName val="5-P3 Support"/>
      <sheetName val="6-True-Up Interest"/>
      <sheetName val="7 - PBOP"/>
      <sheetName val="8-Dep Rates"/>
      <sheetName val="Check"/>
      <sheetName val="BS"/>
      <sheetName val="IS"/>
      <sheetName val="IS Detail"/>
      <sheetName val="A&amp;G Tie Out"/>
      <sheetName val="Comed Invoice"/>
    </sheetNames>
    <sheetDataSet>
      <sheetData sheetId="0" refreshError="1"/>
      <sheetData sheetId="1"/>
      <sheetData sheetId="2"/>
      <sheetData sheetId="3"/>
      <sheetData sheetId="4"/>
      <sheetData sheetId="5"/>
      <sheetData sheetId="6"/>
      <sheetData sheetId="7"/>
      <sheetData sheetId="8" refreshError="1"/>
      <sheetData sheetId="9"/>
      <sheetData sheetId="10"/>
      <sheetData sheetId="11" refreshError="1"/>
      <sheetData sheetId="12">
        <row r="10">
          <cell r="C10">
            <v>2486171.48</v>
          </cell>
        </row>
      </sheetData>
      <sheetData sheetId="13" refreshError="1"/>
      <sheetData sheetId="14">
        <row r="19">
          <cell r="T19">
            <v>3017.19</v>
          </cell>
        </row>
      </sheetData>
      <sheetData sheetId="15">
        <row r="11">
          <cell r="M11">
            <v>15199.35</v>
          </cell>
        </row>
      </sheetData>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0313-9FA2-4DCE-8306-0FEB1CD8BD26}">
  <sheetPr>
    <pageSetUpPr fitToPage="1"/>
  </sheetPr>
  <dimension ref="A1:M274"/>
  <sheetViews>
    <sheetView tabSelected="1" zoomScaleNormal="100" zoomScaleSheetLayoutView="70" workbookViewId="0">
      <selection activeCell="C11" sqref="C11"/>
    </sheetView>
  </sheetViews>
  <sheetFormatPr defaultColWidth="8.77734375" defaultRowHeight="12.75"/>
  <cols>
    <col min="1" max="1" width="5.77734375" style="3" customWidth="1"/>
    <col min="2" max="2" width="56" style="3" customWidth="1"/>
    <col min="3" max="3" width="47.44140625" style="3" bestFit="1" customWidth="1"/>
    <col min="4" max="4" width="16.21875" style="3" customWidth="1"/>
    <col min="5" max="5" width="5.77734375" style="3" customWidth="1"/>
    <col min="6" max="6" width="7.21875" style="3" customWidth="1"/>
    <col min="7" max="7" width="16.77734375" style="3" customWidth="1"/>
    <col min="8" max="8" width="4.77734375" style="3" customWidth="1"/>
    <col min="9" max="9" width="16.21875" style="3" customWidth="1"/>
    <col min="10" max="10" width="2.77734375" style="3" customWidth="1"/>
    <col min="11" max="11" width="11.44140625" style="3" customWidth="1"/>
    <col min="12" max="12" width="14.44140625" style="3" bestFit="1" customWidth="1"/>
    <col min="13" max="13" width="14.77734375" style="3" bestFit="1" customWidth="1"/>
    <col min="14" max="16384" width="8.77734375" style="3"/>
  </cols>
  <sheetData>
    <row r="1" spans="1:11">
      <c r="A1" s="1"/>
      <c r="B1" s="1"/>
      <c r="C1" s="1"/>
      <c r="D1" s="1"/>
      <c r="E1" s="1"/>
      <c r="F1" s="1"/>
      <c r="G1" s="1"/>
      <c r="H1" s="1"/>
      <c r="I1" s="1"/>
      <c r="J1" s="1"/>
      <c r="K1" s="2" t="s">
        <v>0</v>
      </c>
    </row>
    <row r="2" spans="1:11">
      <c r="A2" s="1"/>
      <c r="B2" s="1" t="s">
        <v>1</v>
      </c>
      <c r="C2" s="1"/>
      <c r="D2" s="1"/>
      <c r="E2" s="1"/>
      <c r="F2" s="1"/>
      <c r="G2" s="1"/>
      <c r="H2" s="1"/>
      <c r="I2" s="1"/>
      <c r="J2" s="1"/>
      <c r="K2" s="1"/>
    </row>
    <row r="3" spans="1:11">
      <c r="A3" s="4"/>
      <c r="B3" s="5" t="s">
        <v>2</v>
      </c>
      <c r="C3" s="6" t="s">
        <v>3</v>
      </c>
      <c r="D3" s="7" t="s">
        <v>4</v>
      </c>
      <c r="E3" s="5"/>
      <c r="F3" s="5"/>
      <c r="G3" s="5"/>
      <c r="H3" s="5"/>
      <c r="I3" s="8"/>
      <c r="J3" s="9"/>
      <c r="K3" s="10" t="s">
        <v>5</v>
      </c>
    </row>
    <row r="4" spans="1:11">
      <c r="A4" s="4"/>
      <c r="C4" s="11"/>
      <c r="D4" s="12" t="s">
        <v>6</v>
      </c>
      <c r="E4" s="11"/>
      <c r="F4" s="11"/>
      <c r="G4" s="11"/>
      <c r="H4" s="5"/>
      <c r="I4" s="5"/>
      <c r="J4" s="13"/>
      <c r="K4" s="13"/>
    </row>
    <row r="5" spans="1:11" ht="15.75">
      <c r="A5" s="4"/>
      <c r="B5" s="14"/>
      <c r="C5" s="13"/>
      <c r="D5" s="15" t="s">
        <v>7</v>
      </c>
      <c r="E5" s="13"/>
      <c r="F5" s="13"/>
      <c r="G5" s="13"/>
      <c r="H5" s="13"/>
      <c r="I5" s="13"/>
      <c r="J5" s="13"/>
      <c r="K5" s="13"/>
    </row>
    <row r="6" spans="1:11" ht="13.5">
      <c r="B6" s="14"/>
      <c r="J6" s="16"/>
      <c r="K6" s="16"/>
    </row>
    <row r="7" spans="1:11">
      <c r="A7" s="7"/>
      <c r="C7" s="13"/>
      <c r="D7" s="17"/>
      <c r="E7" s="13"/>
      <c r="F7" s="13"/>
      <c r="G7" s="13"/>
      <c r="H7" s="13"/>
      <c r="I7" s="13"/>
      <c r="J7" s="13"/>
      <c r="K7" s="13"/>
    </row>
    <row r="8" spans="1:11">
      <c r="A8" s="7"/>
      <c r="B8" s="18" t="s">
        <v>8</v>
      </c>
      <c r="C8" s="18" t="s">
        <v>9</v>
      </c>
      <c r="D8" s="18" t="s">
        <v>10</v>
      </c>
      <c r="E8" s="11" t="s">
        <v>11</v>
      </c>
      <c r="F8" s="11"/>
      <c r="G8" s="17" t="s">
        <v>12</v>
      </c>
      <c r="H8" s="11"/>
      <c r="I8" s="17" t="s">
        <v>13</v>
      </c>
      <c r="J8" s="13"/>
      <c r="K8" s="13"/>
    </row>
    <row r="9" spans="1:11">
      <c r="A9" s="7" t="s">
        <v>14</v>
      </c>
      <c r="B9" s="13"/>
      <c r="C9" s="13"/>
      <c r="D9" s="16"/>
      <c r="E9" s="13"/>
      <c r="F9" s="13"/>
      <c r="G9" s="13"/>
      <c r="H9" s="13"/>
      <c r="I9" s="7" t="s">
        <v>15</v>
      </c>
      <c r="J9" s="13"/>
      <c r="K9" s="13"/>
    </row>
    <row r="10" spans="1:11" ht="13.5" thickBot="1">
      <c r="A10" s="19" t="s">
        <v>16</v>
      </c>
      <c r="B10" s="13"/>
      <c r="C10" s="13"/>
      <c r="D10" s="13"/>
      <c r="E10" s="13"/>
      <c r="F10" s="13"/>
      <c r="G10" s="13"/>
      <c r="H10" s="13"/>
      <c r="I10" s="19" t="s">
        <v>17</v>
      </c>
      <c r="J10" s="13"/>
      <c r="K10" s="13"/>
    </row>
    <row r="11" spans="1:11">
      <c r="A11" s="7">
        <v>1</v>
      </c>
      <c r="B11" s="13" t="s">
        <v>18</v>
      </c>
      <c r="C11" s="13" t="s">
        <v>19</v>
      </c>
      <c r="D11" s="11"/>
      <c r="E11" s="13"/>
      <c r="F11" s="13"/>
      <c r="G11" s="13"/>
      <c r="H11" s="13"/>
      <c r="I11" s="20">
        <f>+I172</f>
        <v>285167.3591197902</v>
      </c>
      <c r="J11" s="13"/>
      <c r="K11" s="13"/>
    </row>
    <row r="12" spans="1:11">
      <c r="A12" s="7"/>
      <c r="B12" s="13"/>
      <c r="C12" s="13"/>
      <c r="D12" s="13"/>
      <c r="E12" s="13"/>
      <c r="F12" s="13"/>
      <c r="G12" s="13"/>
      <c r="H12" s="13"/>
      <c r="I12" s="11"/>
      <c r="J12" s="13"/>
      <c r="K12" s="13"/>
    </row>
    <row r="13" spans="1:11" ht="13.5" thickBot="1">
      <c r="A13" s="7" t="s">
        <v>11</v>
      </c>
      <c r="B13" s="13" t="s">
        <v>20</v>
      </c>
      <c r="C13" s="11" t="s">
        <v>21</v>
      </c>
      <c r="D13" s="19" t="s">
        <v>22</v>
      </c>
      <c r="E13" s="11"/>
      <c r="F13" s="21" t="s">
        <v>23</v>
      </c>
      <c r="G13" s="21"/>
      <c r="H13" s="13"/>
      <c r="I13" s="11"/>
      <c r="J13" s="13"/>
      <c r="K13" s="13"/>
    </row>
    <row r="14" spans="1:11">
      <c r="A14" s="7">
        <f>+A11+1</f>
        <v>2</v>
      </c>
      <c r="B14" s="13" t="s">
        <v>24</v>
      </c>
      <c r="C14" s="11" t="str">
        <f>"(page 4, line "&amp;A222&amp;")"</f>
        <v>(page 4, line 29)</v>
      </c>
      <c r="D14" s="22">
        <f>I222</f>
        <v>0</v>
      </c>
      <c r="E14" s="11"/>
      <c r="F14" s="11" t="s">
        <v>25</v>
      </c>
      <c r="G14" s="22">
        <f>I191</f>
        <v>1</v>
      </c>
      <c r="H14" s="23"/>
      <c r="I14" s="22">
        <f>+G14*D14</f>
        <v>0</v>
      </c>
      <c r="J14" s="13"/>
      <c r="K14" s="13"/>
    </row>
    <row r="15" spans="1:11">
      <c r="A15" s="7">
        <f>+A14+1</f>
        <v>3</v>
      </c>
      <c r="B15" s="13" t="s">
        <v>26</v>
      </c>
      <c r="C15" s="11" t="str">
        <f>"(page 4, line "&amp;A227&amp;")"</f>
        <v>(page 4, line 33)</v>
      </c>
      <c r="D15" s="22">
        <f>I227</f>
        <v>0</v>
      </c>
      <c r="E15" s="11"/>
      <c r="F15" s="11" t="s">
        <v>25</v>
      </c>
      <c r="G15" s="22">
        <f>+G14</f>
        <v>1</v>
      </c>
      <c r="H15" s="23"/>
      <c r="I15" s="22">
        <f>+G15*D15</f>
        <v>0</v>
      </c>
      <c r="J15" s="13"/>
      <c r="K15" s="13"/>
    </row>
    <row r="16" spans="1:11">
      <c r="A16" s="7">
        <f>+A15+1</f>
        <v>4</v>
      </c>
      <c r="B16" s="13" t="s">
        <v>27</v>
      </c>
      <c r="C16" s="11" t="s">
        <v>28</v>
      </c>
      <c r="D16" s="22">
        <f>+'5-P3 Support'!G67</f>
        <v>0</v>
      </c>
      <c r="E16" s="11"/>
      <c r="F16" s="11" t="s">
        <v>25</v>
      </c>
      <c r="G16" s="22">
        <f>+G15</f>
        <v>1</v>
      </c>
      <c r="H16" s="23"/>
      <c r="I16" s="22">
        <f>+D16*G16</f>
        <v>0</v>
      </c>
      <c r="J16" s="13"/>
      <c r="K16" s="13"/>
    </row>
    <row r="17" spans="1:13">
      <c r="A17" s="7">
        <f>+A16+1</f>
        <v>5</v>
      </c>
      <c r="B17" s="11" t="s">
        <v>29</v>
      </c>
      <c r="C17" s="24" t="s">
        <v>30</v>
      </c>
      <c r="D17" s="25">
        <v>0</v>
      </c>
      <c r="E17" s="11"/>
      <c r="F17" s="11" t="s">
        <v>25</v>
      </c>
      <c r="G17" s="22">
        <f>+G15</f>
        <v>1</v>
      </c>
      <c r="H17" s="23"/>
      <c r="I17" s="22">
        <f>+G17*D17</f>
        <v>0</v>
      </c>
      <c r="J17" s="13"/>
      <c r="K17" s="13"/>
    </row>
    <row r="18" spans="1:13" ht="13.5" thickBot="1">
      <c r="A18" s="7">
        <f>+A17+1</f>
        <v>6</v>
      </c>
      <c r="B18" s="11" t="s">
        <v>31</v>
      </c>
      <c r="C18" s="24"/>
      <c r="D18" s="25">
        <v>0</v>
      </c>
      <c r="E18" s="11"/>
      <c r="F18" s="11" t="s">
        <v>25</v>
      </c>
      <c r="G18" s="22">
        <f>+G17</f>
        <v>1</v>
      </c>
      <c r="H18" s="23"/>
      <c r="I18" s="26">
        <f>+G18*D18</f>
        <v>0</v>
      </c>
      <c r="J18" s="13"/>
      <c r="K18" s="13"/>
    </row>
    <row r="19" spans="1:13">
      <c r="A19" s="7">
        <f>+A18+1</f>
        <v>7</v>
      </c>
      <c r="B19" s="13" t="s">
        <v>32</v>
      </c>
      <c r="C19" s="13" t="s">
        <v>33</v>
      </c>
      <c r="D19" s="27">
        <f>SUM(D14:D18)</f>
        <v>0</v>
      </c>
      <c r="E19" s="11"/>
      <c r="F19" s="11"/>
      <c r="G19" s="28"/>
      <c r="H19" s="23"/>
      <c r="I19" s="22">
        <f>SUM(I14:I18)</f>
        <v>0</v>
      </c>
      <c r="J19" s="13"/>
      <c r="K19" s="13"/>
    </row>
    <row r="20" spans="1:13">
      <c r="A20" s="7"/>
      <c r="B20" s="4"/>
      <c r="C20" s="13"/>
      <c r="D20" s="11" t="s">
        <v>11</v>
      </c>
      <c r="E20" s="13"/>
      <c r="F20" s="13"/>
      <c r="G20" s="29"/>
      <c r="H20" s="13"/>
      <c r="I20" s="4"/>
      <c r="J20" s="13"/>
      <c r="K20" s="13"/>
    </row>
    <row r="21" spans="1:13" ht="13.5" thickBot="1">
      <c r="A21" s="7">
        <f>+A19+1</f>
        <v>8</v>
      </c>
      <c r="B21" s="13" t="s">
        <v>34</v>
      </c>
      <c r="C21" s="13" t="s">
        <v>35</v>
      </c>
      <c r="D21" s="30" t="s">
        <v>11</v>
      </c>
      <c r="E21" s="11"/>
      <c r="F21" s="11"/>
      <c r="G21" s="11"/>
      <c r="H21" s="11"/>
      <c r="I21" s="31">
        <f>I11-I19</f>
        <v>285167.3591197902</v>
      </c>
      <c r="J21" s="13"/>
      <c r="K21" s="13"/>
      <c r="M21" s="32"/>
    </row>
    <row r="22" spans="1:13" ht="13.5" thickTop="1">
      <c r="A22" s="7"/>
      <c r="B22" s="4"/>
      <c r="C22" s="13"/>
      <c r="D22" s="30"/>
      <c r="E22" s="11"/>
      <c r="F22" s="11"/>
      <c r="G22" s="11"/>
      <c r="H22" s="11"/>
      <c r="I22" s="4"/>
      <c r="J22" s="13"/>
      <c r="K22" s="13"/>
      <c r="M22" s="33"/>
    </row>
    <row r="23" spans="1:13">
      <c r="A23" s="34">
        <f>+A21+1</f>
        <v>9</v>
      </c>
      <c r="B23" s="35" t="s">
        <v>36</v>
      </c>
      <c r="C23" s="36" t="s">
        <v>37</v>
      </c>
      <c r="D23" s="22">
        <f>+'3-Project True-up'!H39</f>
        <v>0</v>
      </c>
      <c r="E23" s="35"/>
      <c r="F23" s="35" t="s">
        <v>38</v>
      </c>
      <c r="G23" s="37">
        <v>1</v>
      </c>
      <c r="H23" s="35"/>
      <c r="I23" s="25">
        <f>+G23*D23</f>
        <v>0</v>
      </c>
      <c r="K23" s="13"/>
    </row>
    <row r="24" spans="1:13">
      <c r="A24" s="34"/>
      <c r="B24" s="35"/>
      <c r="C24" s="35"/>
      <c r="D24" s="35"/>
      <c r="E24" s="35"/>
      <c r="F24" s="35"/>
      <c r="G24" s="35"/>
      <c r="H24" s="35"/>
      <c r="I24" s="38"/>
      <c r="K24" s="13"/>
    </row>
    <row r="25" spans="1:13" ht="13.5" thickBot="1">
      <c r="A25" s="34">
        <f>+A23+1</f>
        <v>10</v>
      </c>
      <c r="B25" s="35" t="s">
        <v>34</v>
      </c>
      <c r="C25" s="35" t="s">
        <v>39</v>
      </c>
      <c r="D25" s="35"/>
      <c r="E25" s="38"/>
      <c r="F25" s="38"/>
      <c r="G25" s="38"/>
      <c r="H25" s="38"/>
      <c r="I25" s="39">
        <f>+I21+I23</f>
        <v>285167.3591197902</v>
      </c>
      <c r="K25" s="13"/>
    </row>
    <row r="26" spans="1:13" ht="13.5" thickTop="1">
      <c r="A26" s="7"/>
      <c r="B26" s="11"/>
      <c r="C26" s="13"/>
      <c r="D26" s="13"/>
      <c r="E26" s="13"/>
      <c r="F26" s="4"/>
      <c r="G26" s="5"/>
      <c r="H26" s="13"/>
      <c r="I26" s="11"/>
      <c r="J26" s="13"/>
      <c r="K26" s="13"/>
    </row>
    <row r="27" spans="1:13">
      <c r="A27" s="7"/>
      <c r="B27" s="13"/>
      <c r="C27" s="13"/>
      <c r="D27" s="13"/>
      <c r="E27" s="13"/>
      <c r="F27" s="4"/>
      <c r="G27" s="5"/>
      <c r="H27" s="13"/>
      <c r="I27" s="11"/>
      <c r="J27" s="13"/>
      <c r="K27" s="13"/>
    </row>
    <row r="28" spans="1:13">
      <c r="A28" s="7"/>
      <c r="B28" s="11"/>
      <c r="C28" s="13"/>
      <c r="D28" s="13"/>
      <c r="E28" s="13"/>
      <c r="F28" s="13"/>
      <c r="G28" s="5"/>
      <c r="H28" s="13"/>
      <c r="I28" s="11"/>
      <c r="J28" s="13"/>
      <c r="K28" s="13"/>
    </row>
    <row r="29" spans="1:13">
      <c r="A29" s="7"/>
      <c r="B29" s="11"/>
      <c r="C29" s="13"/>
      <c r="D29" s="13"/>
      <c r="E29" s="13"/>
      <c r="F29" s="13"/>
      <c r="G29" s="5"/>
      <c r="H29" s="13"/>
      <c r="I29" s="11"/>
      <c r="J29" s="13"/>
      <c r="K29" s="13"/>
    </row>
    <row r="30" spans="1:13">
      <c r="A30" s="7"/>
      <c r="B30" s="11"/>
      <c r="C30" s="13"/>
      <c r="D30" s="13"/>
      <c r="E30" s="13"/>
      <c r="F30" s="13"/>
      <c r="G30" s="5"/>
      <c r="H30" s="13"/>
      <c r="I30" s="11"/>
      <c r="J30" s="13"/>
      <c r="K30" s="13"/>
    </row>
    <row r="31" spans="1:13">
      <c r="A31" s="7"/>
      <c r="B31" s="5"/>
      <c r="C31" s="13"/>
      <c r="D31" s="13"/>
      <c r="E31" s="13"/>
      <c r="F31" s="13"/>
      <c r="G31" s="13"/>
      <c r="H31" s="13"/>
      <c r="I31" s="11"/>
      <c r="J31" s="13"/>
      <c r="K31" s="13"/>
    </row>
    <row r="32" spans="1:13">
      <c r="A32" s="7"/>
      <c r="B32" s="13"/>
      <c r="C32" s="13"/>
      <c r="D32" s="13"/>
      <c r="E32" s="13"/>
      <c r="F32" s="13"/>
      <c r="G32" s="13"/>
      <c r="H32" s="13"/>
      <c r="I32" s="11"/>
      <c r="J32" s="13"/>
      <c r="K32" s="13"/>
    </row>
    <row r="33" spans="1:11">
      <c r="A33" s="7"/>
      <c r="B33" s="13"/>
      <c r="C33" s="13"/>
      <c r="D33" s="40"/>
      <c r="E33" s="13"/>
      <c r="F33" s="13"/>
      <c r="G33" s="13"/>
      <c r="H33" s="13"/>
      <c r="I33" s="4"/>
      <c r="J33" s="13"/>
      <c r="K33" s="13"/>
    </row>
    <row r="34" spans="1:11">
      <c r="A34" s="7"/>
      <c r="B34" s="13"/>
      <c r="C34" s="13"/>
      <c r="D34" s="40"/>
      <c r="E34" s="13"/>
      <c r="F34" s="13"/>
      <c r="G34" s="13"/>
      <c r="H34" s="13"/>
      <c r="I34" s="4"/>
      <c r="J34" s="13"/>
      <c r="K34" s="13"/>
    </row>
    <row r="35" spans="1:11">
      <c r="A35" s="7"/>
      <c r="B35" s="13"/>
      <c r="C35" s="13"/>
      <c r="D35" s="41"/>
      <c r="E35" s="13"/>
      <c r="F35" s="13"/>
      <c r="G35" s="13"/>
      <c r="H35" s="13"/>
      <c r="I35" s="4"/>
      <c r="J35" s="13"/>
      <c r="K35" s="13"/>
    </row>
    <row r="36" spans="1:11">
      <c r="A36" s="7"/>
      <c r="B36" s="13"/>
      <c r="C36" s="13"/>
      <c r="D36" s="42"/>
      <c r="E36" s="13"/>
      <c r="F36" s="13"/>
      <c r="G36" s="13"/>
      <c r="H36" s="13"/>
      <c r="I36" s="43"/>
      <c r="J36" s="13"/>
      <c r="K36" s="13"/>
    </row>
    <row r="37" spans="1:11">
      <c r="A37" s="7"/>
      <c r="B37" s="13"/>
      <c r="C37" s="44"/>
      <c r="D37" s="40"/>
      <c r="E37" s="13"/>
      <c r="F37" s="13"/>
      <c r="G37" s="13"/>
      <c r="H37" s="13"/>
      <c r="I37" s="45"/>
      <c r="J37" s="13"/>
      <c r="K37" s="13"/>
    </row>
    <row r="38" spans="1:11">
      <c r="A38" s="7"/>
      <c r="B38" s="13"/>
      <c r="C38" s="44"/>
      <c r="D38" s="40"/>
      <c r="E38" s="13"/>
      <c r="F38" s="4"/>
      <c r="G38" s="13"/>
      <c r="H38" s="13"/>
      <c r="I38" s="45"/>
      <c r="J38" s="13"/>
      <c r="K38" s="13"/>
    </row>
    <row r="39" spans="1:11">
      <c r="A39" s="7"/>
      <c r="B39" s="13"/>
      <c r="C39" s="44"/>
      <c r="D39" s="40"/>
      <c r="E39" s="13"/>
      <c r="F39" s="4"/>
      <c r="G39" s="13"/>
      <c r="H39" s="13"/>
      <c r="I39" s="45"/>
      <c r="J39" s="13"/>
      <c r="K39" s="13"/>
    </row>
    <row r="40" spans="1:11">
      <c r="A40" s="7"/>
      <c r="B40" s="13"/>
      <c r="C40" s="13"/>
      <c r="D40" s="13"/>
      <c r="E40" s="13"/>
      <c r="F40" s="4"/>
      <c r="G40" s="13"/>
      <c r="H40" s="13"/>
      <c r="I40" s="4"/>
      <c r="J40" s="13"/>
      <c r="K40" s="13"/>
    </row>
    <row r="41" spans="1:11">
      <c r="A41" s="7"/>
      <c r="B41" s="13"/>
      <c r="C41" s="13"/>
      <c r="D41" s="13"/>
      <c r="E41" s="13"/>
      <c r="F41" s="4"/>
      <c r="G41" s="13"/>
      <c r="H41" s="13"/>
      <c r="I41" s="4"/>
      <c r="J41" s="13"/>
      <c r="K41" s="13"/>
    </row>
    <row r="42" spans="1:11">
      <c r="A42" s="7"/>
      <c r="B42" s="13"/>
      <c r="C42" s="13"/>
      <c r="D42" s="46"/>
      <c r="E42" s="46"/>
      <c r="F42" s="46"/>
      <c r="G42" s="46"/>
      <c r="H42" s="46"/>
      <c r="I42" s="46"/>
      <c r="J42" s="46"/>
      <c r="K42" s="13"/>
    </row>
    <row r="43" spans="1:11">
      <c r="A43" s="7"/>
      <c r="B43" s="13"/>
      <c r="C43" s="13"/>
      <c r="D43" s="46"/>
      <c r="E43" s="46"/>
      <c r="F43" s="46"/>
      <c r="G43" s="46"/>
      <c r="H43" s="46"/>
      <c r="I43" s="46"/>
      <c r="J43" s="46"/>
      <c r="K43" s="13"/>
    </row>
    <row r="44" spans="1:11">
      <c r="A44" s="7"/>
      <c r="B44" s="13"/>
      <c r="C44" s="13"/>
      <c r="D44" s="46"/>
      <c r="E44" s="46"/>
      <c r="F44" s="46"/>
      <c r="G44" s="46"/>
      <c r="H44" s="46"/>
      <c r="I44" s="46"/>
      <c r="J44" s="46"/>
      <c r="K44" s="13"/>
    </row>
    <row r="45" spans="1:11">
      <c r="A45" s="7"/>
      <c r="B45" s="13"/>
      <c r="C45" s="13"/>
      <c r="D45" s="46"/>
      <c r="E45" s="46"/>
      <c r="F45" s="46"/>
      <c r="G45" s="46"/>
      <c r="H45" s="46"/>
      <c r="I45" s="46"/>
      <c r="J45" s="46"/>
      <c r="K45" s="13"/>
    </row>
    <row r="46" spans="1:11">
      <c r="A46" s="7"/>
      <c r="B46" s="13"/>
      <c r="C46" s="13"/>
      <c r="D46" s="46"/>
      <c r="E46" s="46"/>
      <c r="F46" s="46"/>
      <c r="G46" s="46"/>
      <c r="H46" s="46"/>
      <c r="I46" s="46"/>
      <c r="J46" s="46"/>
      <c r="K46" s="13"/>
    </row>
    <row r="47" spans="1:11">
      <c r="A47" s="7"/>
      <c r="B47" s="13"/>
      <c r="C47" s="13"/>
      <c r="D47" s="46"/>
      <c r="E47" s="46"/>
      <c r="F47" s="46"/>
      <c r="G47" s="46"/>
      <c r="H47" s="46"/>
      <c r="I47" s="46"/>
      <c r="J47" s="46"/>
      <c r="K47" s="13"/>
    </row>
    <row r="48" spans="1:11">
      <c r="A48" s="7"/>
      <c r="B48" s="13"/>
      <c r="C48" s="13"/>
      <c r="D48" s="46"/>
      <c r="E48" s="46"/>
      <c r="F48" s="46"/>
      <c r="G48" s="46"/>
      <c r="H48" s="46"/>
      <c r="I48" s="46"/>
      <c r="J48" s="46"/>
      <c r="K48" s="13"/>
    </row>
    <row r="49" spans="1:11">
      <c r="A49" s="7"/>
      <c r="B49" s="13"/>
      <c r="C49" s="13"/>
      <c r="D49" s="46"/>
      <c r="E49" s="46"/>
      <c r="F49" s="46"/>
      <c r="G49" s="46"/>
      <c r="H49" s="46"/>
      <c r="I49" s="46"/>
      <c r="J49" s="46"/>
      <c r="K49" s="13"/>
    </row>
    <row r="50" spans="1:11">
      <c r="A50" s="7"/>
      <c r="B50" s="13"/>
      <c r="C50" s="13"/>
      <c r="D50" s="46"/>
      <c r="E50" s="46"/>
      <c r="F50" s="46"/>
      <c r="G50" s="46"/>
      <c r="H50" s="46"/>
      <c r="I50" s="46"/>
      <c r="J50" s="46"/>
      <c r="K50" s="13"/>
    </row>
    <row r="51" spans="1:11">
      <c r="A51" s="7"/>
      <c r="B51" s="13"/>
      <c r="C51" s="13"/>
      <c r="D51" s="46"/>
      <c r="E51" s="46"/>
      <c r="F51" s="46"/>
      <c r="G51" s="46"/>
      <c r="H51" s="46"/>
      <c r="I51" s="46"/>
      <c r="J51" s="46"/>
      <c r="K51" s="13"/>
    </row>
    <row r="52" spans="1:11">
      <c r="A52" s="4"/>
      <c r="B52" s="13"/>
      <c r="C52" s="13"/>
      <c r="D52" s="13"/>
      <c r="E52" s="13"/>
      <c r="F52" s="13"/>
      <c r="G52" s="13"/>
      <c r="H52" s="13"/>
      <c r="I52" s="47"/>
      <c r="J52" s="13"/>
      <c r="K52" s="48" t="s">
        <v>40</v>
      </c>
    </row>
    <row r="53" spans="1:11">
      <c r="A53" s="4"/>
      <c r="B53" s="13"/>
      <c r="C53" s="13"/>
      <c r="D53" s="13"/>
      <c r="E53" s="13"/>
      <c r="F53" s="13"/>
      <c r="G53" s="13"/>
      <c r="H53" s="13"/>
      <c r="I53" s="13"/>
      <c r="J53" s="13"/>
      <c r="K53" s="13"/>
    </row>
    <row r="54" spans="1:11">
      <c r="A54" s="4"/>
      <c r="B54" s="13" t="s">
        <v>2</v>
      </c>
      <c r="C54" s="13"/>
      <c r="D54" s="18" t="s">
        <v>4</v>
      </c>
      <c r="E54" s="13"/>
      <c r="F54" s="13"/>
      <c r="G54" s="13"/>
      <c r="H54" s="13"/>
      <c r="I54" s="1"/>
      <c r="J54" s="13"/>
      <c r="K54" s="48" t="str">
        <f>K3</f>
        <v>For  the 12 months ended 12/31/2020</v>
      </c>
    </row>
    <row r="55" spans="1:11">
      <c r="A55" s="4"/>
      <c r="B55" s="49"/>
      <c r="C55" s="11"/>
      <c r="D55" s="12" t="s">
        <v>6</v>
      </c>
      <c r="E55" s="11"/>
      <c r="F55" s="11"/>
      <c r="G55" s="11"/>
      <c r="H55" s="11"/>
      <c r="I55" s="11"/>
      <c r="J55" s="11"/>
      <c r="K55" s="11"/>
    </row>
    <row r="56" spans="1:11">
      <c r="A56" s="4"/>
      <c r="B56" s="13"/>
      <c r="C56" s="11"/>
      <c r="D56" s="50" t="str">
        <f>D5</f>
        <v>NextEra Energy Transmission MidAtlantic Indiana, Inc.</v>
      </c>
      <c r="E56" s="11"/>
      <c r="F56" s="11"/>
      <c r="G56" s="11" t="s">
        <v>11</v>
      </c>
      <c r="H56" s="11"/>
      <c r="I56" s="11"/>
      <c r="J56" s="11"/>
      <c r="K56" s="11"/>
    </row>
    <row r="57" spans="1:11">
      <c r="A57" s="51"/>
      <c r="B57" s="51"/>
      <c r="C57" s="51"/>
      <c r="D57" s="51"/>
      <c r="E57" s="51"/>
      <c r="F57" s="51"/>
      <c r="G57" s="51"/>
      <c r="H57" s="51"/>
      <c r="I57" s="51"/>
      <c r="J57" s="51"/>
      <c r="K57" s="51"/>
    </row>
    <row r="58" spans="1:11">
      <c r="A58" s="4"/>
      <c r="B58" s="18" t="s">
        <v>8</v>
      </c>
      <c r="C58" s="18" t="s">
        <v>9</v>
      </c>
      <c r="D58" s="18" t="s">
        <v>10</v>
      </c>
      <c r="E58" s="11" t="s">
        <v>11</v>
      </c>
      <c r="F58" s="11"/>
      <c r="G58" s="17" t="s">
        <v>12</v>
      </c>
      <c r="H58" s="11"/>
      <c r="I58" s="17" t="s">
        <v>13</v>
      </c>
      <c r="J58" s="11"/>
      <c r="K58" s="18"/>
    </row>
    <row r="59" spans="1:11">
      <c r="A59" s="4"/>
      <c r="B59" s="13"/>
      <c r="C59" s="52"/>
      <c r="D59" s="11"/>
      <c r="E59" s="11"/>
      <c r="F59" s="11"/>
      <c r="G59" s="7"/>
      <c r="H59" s="11"/>
      <c r="I59" s="53" t="s">
        <v>41</v>
      </c>
      <c r="J59" s="11"/>
      <c r="K59" s="18"/>
    </row>
    <row r="60" spans="1:11">
      <c r="A60" s="7" t="s">
        <v>14</v>
      </c>
      <c r="B60" s="13"/>
      <c r="C60" s="54" t="s">
        <v>42</v>
      </c>
      <c r="D60" s="53" t="s">
        <v>43</v>
      </c>
      <c r="E60" s="55"/>
      <c r="F60" s="53" t="s">
        <v>44</v>
      </c>
      <c r="G60" s="4"/>
      <c r="H60" s="55"/>
      <c r="I60" s="7" t="s">
        <v>45</v>
      </c>
      <c r="J60" s="11"/>
      <c r="K60" s="18"/>
    </row>
    <row r="61" spans="1:11" ht="13.5" thickBot="1">
      <c r="A61" s="19" t="s">
        <v>16</v>
      </c>
      <c r="B61" s="56" t="s">
        <v>46</v>
      </c>
      <c r="C61" s="11"/>
      <c r="D61" s="11"/>
      <c r="E61" s="11"/>
      <c r="F61" s="11"/>
      <c r="G61" s="11"/>
      <c r="H61" s="11"/>
      <c r="I61" s="11"/>
      <c r="J61" s="11"/>
      <c r="K61" s="11"/>
    </row>
    <row r="62" spans="1:11">
      <c r="A62" s="7"/>
      <c r="B62" s="13" t="s">
        <v>47</v>
      </c>
      <c r="C62" s="11"/>
      <c r="D62" s="11"/>
      <c r="E62" s="11"/>
      <c r="F62" s="11"/>
      <c r="G62" s="11"/>
      <c r="H62" s="11"/>
      <c r="I62" s="11"/>
      <c r="J62" s="11"/>
      <c r="K62" s="11"/>
    </row>
    <row r="63" spans="1:11">
      <c r="A63" s="7">
        <v>1</v>
      </c>
      <c r="B63" s="13" t="s">
        <v>48</v>
      </c>
      <c r="C63" s="23" t="s">
        <v>49</v>
      </c>
      <c r="D63" s="57">
        <v>0</v>
      </c>
      <c r="E63" s="11"/>
      <c r="F63" s="11" t="s">
        <v>50</v>
      </c>
      <c r="G63" s="58" t="s">
        <v>11</v>
      </c>
      <c r="H63" s="11"/>
      <c r="I63" s="25">
        <v>0</v>
      </c>
      <c r="J63" s="11"/>
      <c r="K63" s="11"/>
    </row>
    <row r="64" spans="1:11">
      <c r="A64" s="7">
        <f>+A63+1</f>
        <v>2</v>
      </c>
      <c r="B64" s="13" t="s">
        <v>51</v>
      </c>
      <c r="C64" s="23" t="s">
        <v>52</v>
      </c>
      <c r="D64" s="25">
        <f>'4- Rate Base'!C24</f>
        <v>382487.92</v>
      </c>
      <c r="E64" s="11"/>
      <c r="F64" s="11" t="s">
        <v>25</v>
      </c>
      <c r="G64" s="22">
        <f>I191</f>
        <v>1</v>
      </c>
      <c r="H64" s="23"/>
      <c r="I64" s="25">
        <f>+G64*D64</f>
        <v>382487.92</v>
      </c>
      <c r="J64" s="11"/>
      <c r="K64" s="11"/>
    </row>
    <row r="65" spans="1:11">
      <c r="A65" s="7">
        <f t="shared" ref="A65:A104" si="0">+A64+1</f>
        <v>3</v>
      </c>
      <c r="B65" s="13" t="s">
        <v>53</v>
      </c>
      <c r="C65" s="23" t="s">
        <v>54</v>
      </c>
      <c r="D65" s="57">
        <v>0</v>
      </c>
      <c r="E65" s="11"/>
      <c r="F65" s="11" t="s">
        <v>50</v>
      </c>
      <c r="G65" s="22">
        <v>0</v>
      </c>
      <c r="H65" s="23"/>
      <c r="I65" s="25">
        <v>0</v>
      </c>
      <c r="J65" s="11"/>
      <c r="K65" s="11"/>
    </row>
    <row r="66" spans="1:11">
      <c r="A66" s="7">
        <f t="shared" si="0"/>
        <v>4</v>
      </c>
      <c r="B66" s="13" t="s">
        <v>55</v>
      </c>
      <c r="C66" s="23" t="s">
        <v>56</v>
      </c>
      <c r="D66" s="25">
        <f>'4- Rate Base'!D24</f>
        <v>0</v>
      </c>
      <c r="E66" s="11"/>
      <c r="F66" s="11" t="s">
        <v>57</v>
      </c>
      <c r="G66" s="22">
        <f>I199</f>
        <v>1</v>
      </c>
      <c r="H66" s="23"/>
      <c r="I66" s="25">
        <f>+G66*D66</f>
        <v>0</v>
      </c>
      <c r="J66" s="11"/>
      <c r="K66" s="11"/>
    </row>
    <row r="67" spans="1:11" ht="13.5" thickBot="1">
      <c r="A67" s="7">
        <f t="shared" si="0"/>
        <v>5</v>
      </c>
      <c r="B67" s="13" t="s">
        <v>58</v>
      </c>
      <c r="C67" s="11" t="s">
        <v>59</v>
      </c>
      <c r="D67" s="59">
        <v>0</v>
      </c>
      <c r="E67" s="11"/>
      <c r="F67" s="11" t="s">
        <v>60</v>
      </c>
      <c r="G67" s="22">
        <f>K203</f>
        <v>1</v>
      </c>
      <c r="H67" s="23"/>
      <c r="I67" s="60">
        <f>+G67*D67</f>
        <v>0</v>
      </c>
      <c r="J67" s="11"/>
      <c r="K67" s="11"/>
    </row>
    <row r="68" spans="1:11">
      <c r="A68" s="7">
        <f t="shared" si="0"/>
        <v>6</v>
      </c>
      <c r="B68" s="5" t="s">
        <v>61</v>
      </c>
      <c r="C68" s="11" t="s">
        <v>62</v>
      </c>
      <c r="D68" s="25">
        <f>SUM(D63:D67)</f>
        <v>382487.92</v>
      </c>
      <c r="E68" s="11"/>
      <c r="F68" s="11" t="s">
        <v>63</v>
      </c>
      <c r="G68" s="61">
        <f>IF(I68&gt;0,I68/D68,0)</f>
        <v>1</v>
      </c>
      <c r="H68" s="23"/>
      <c r="I68" s="25">
        <f>SUM(I63:I67)</f>
        <v>382487.92</v>
      </c>
      <c r="J68" s="11"/>
      <c r="K68" s="62"/>
    </row>
    <row r="69" spans="1:11">
      <c r="A69" s="7"/>
      <c r="B69" s="13"/>
      <c r="C69" s="11"/>
      <c r="D69" s="25"/>
      <c r="E69" s="11"/>
      <c r="F69" s="11"/>
      <c r="G69" s="62"/>
      <c r="H69" s="11"/>
      <c r="I69" s="25"/>
      <c r="J69" s="11"/>
      <c r="K69" s="62"/>
    </row>
    <row r="70" spans="1:11">
      <c r="A70" s="7">
        <f>+A68+1</f>
        <v>7</v>
      </c>
      <c r="B70" s="13" t="s">
        <v>64</v>
      </c>
      <c r="C70" s="11"/>
      <c r="D70" s="25"/>
      <c r="E70" s="11"/>
      <c r="F70" s="11"/>
      <c r="G70" s="11"/>
      <c r="H70" s="11"/>
      <c r="I70" s="25"/>
      <c r="J70" s="11"/>
      <c r="K70" s="11"/>
    </row>
    <row r="71" spans="1:11">
      <c r="A71" s="7">
        <f t="shared" si="0"/>
        <v>8</v>
      </c>
      <c r="B71" s="13" t="s">
        <v>48</v>
      </c>
      <c r="C71" s="11" t="s">
        <v>65</v>
      </c>
      <c r="D71" s="57">
        <v>0</v>
      </c>
      <c r="E71" s="11"/>
      <c r="F71" s="11" t="s">
        <v>50</v>
      </c>
      <c r="G71" s="58" t="s">
        <v>11</v>
      </c>
      <c r="H71" s="11"/>
      <c r="I71" s="25">
        <v>0</v>
      </c>
      <c r="J71" s="11"/>
      <c r="K71" s="11"/>
    </row>
    <row r="72" spans="1:11">
      <c r="A72" s="7">
        <f t="shared" si="0"/>
        <v>9</v>
      </c>
      <c r="B72" s="13" t="s">
        <v>51</v>
      </c>
      <c r="C72" s="11" t="s">
        <v>66</v>
      </c>
      <c r="D72" s="25">
        <f>'4- Rate Base'!I24</f>
        <v>360915.0753846154</v>
      </c>
      <c r="E72" s="11"/>
      <c r="F72" s="11" t="s">
        <v>25</v>
      </c>
      <c r="G72" s="22">
        <f>+G64</f>
        <v>1</v>
      </c>
      <c r="H72" s="23"/>
      <c r="I72" s="25">
        <f>+G72*D72</f>
        <v>360915.0753846154</v>
      </c>
      <c r="J72" s="11"/>
      <c r="K72" s="11"/>
    </row>
    <row r="73" spans="1:11">
      <c r="A73" s="7">
        <f t="shared" si="0"/>
        <v>10</v>
      </c>
      <c r="B73" s="13" t="s">
        <v>53</v>
      </c>
      <c r="C73" s="11" t="s">
        <v>67</v>
      </c>
      <c r="D73" s="57">
        <v>0</v>
      </c>
      <c r="E73" s="11"/>
      <c r="F73" s="11" t="s">
        <v>50</v>
      </c>
      <c r="G73" s="22">
        <f>+G65</f>
        <v>0</v>
      </c>
      <c r="H73" s="23"/>
      <c r="I73" s="25">
        <f>+G73*D73</f>
        <v>0</v>
      </c>
      <c r="J73" s="11"/>
      <c r="K73" s="11"/>
    </row>
    <row r="74" spans="1:11">
      <c r="A74" s="7">
        <f t="shared" si="0"/>
        <v>11</v>
      </c>
      <c r="B74" s="13" t="s">
        <v>55</v>
      </c>
      <c r="C74" s="11" t="s">
        <v>68</v>
      </c>
      <c r="D74" s="25">
        <f>'4- Rate Base'!J24</f>
        <v>0</v>
      </c>
      <c r="E74" s="11"/>
      <c r="F74" s="11" t="s">
        <v>57</v>
      </c>
      <c r="G74" s="22">
        <f>+G66</f>
        <v>1</v>
      </c>
      <c r="H74" s="23"/>
      <c r="I74" s="25">
        <f>+G74*D74</f>
        <v>0</v>
      </c>
      <c r="J74" s="11"/>
      <c r="K74" s="11"/>
    </row>
    <row r="75" spans="1:11" ht="13.5" thickBot="1">
      <c r="A75" s="7">
        <f t="shared" si="0"/>
        <v>12</v>
      </c>
      <c r="B75" s="13" t="s">
        <v>58</v>
      </c>
      <c r="C75" s="11" t="s">
        <v>59</v>
      </c>
      <c r="D75" s="59">
        <v>0</v>
      </c>
      <c r="E75" s="11"/>
      <c r="F75" s="11" t="s">
        <v>60</v>
      </c>
      <c r="G75" s="22">
        <f>+G67</f>
        <v>1</v>
      </c>
      <c r="H75" s="23"/>
      <c r="I75" s="60">
        <f>+G75*D75</f>
        <v>0</v>
      </c>
      <c r="J75" s="11"/>
      <c r="K75" s="11"/>
    </row>
    <row r="76" spans="1:11">
      <c r="A76" s="7">
        <f t="shared" si="0"/>
        <v>13</v>
      </c>
      <c r="B76" s="13" t="s">
        <v>69</v>
      </c>
      <c r="C76" s="11" t="s">
        <v>70</v>
      </c>
      <c r="D76" s="25">
        <f>SUM(D71:D75)</f>
        <v>360915.0753846154</v>
      </c>
      <c r="E76" s="11"/>
      <c r="F76" s="11"/>
      <c r="G76" s="22"/>
      <c r="H76" s="23"/>
      <c r="I76" s="25">
        <f>SUM(I71:I75)</f>
        <v>360915.0753846154</v>
      </c>
      <c r="J76" s="11"/>
      <c r="K76" s="11"/>
    </row>
    <row r="77" spans="1:11">
      <c r="A77" s="7"/>
      <c r="B77" s="4"/>
      <c r="C77" s="11" t="s">
        <v>11</v>
      </c>
      <c r="D77" s="25"/>
      <c r="E77" s="11"/>
      <c r="F77" s="11"/>
      <c r="G77" s="61"/>
      <c r="H77" s="11"/>
      <c r="I77" s="25"/>
      <c r="J77" s="11"/>
      <c r="K77" s="62"/>
    </row>
    <row r="78" spans="1:11">
      <c r="A78" s="7">
        <f>+A76+1</f>
        <v>14</v>
      </c>
      <c r="B78" s="13" t="s">
        <v>71</v>
      </c>
      <c r="C78" s="11"/>
      <c r="D78" s="25"/>
      <c r="E78" s="11"/>
      <c r="F78" s="11"/>
      <c r="G78" s="22"/>
      <c r="H78" s="11"/>
      <c r="I78" s="25"/>
      <c r="J78" s="11"/>
      <c r="K78" s="11"/>
    </row>
    <row r="79" spans="1:11">
      <c r="A79" s="7">
        <f t="shared" si="0"/>
        <v>15</v>
      </c>
      <c r="B79" s="13" t="s">
        <v>48</v>
      </c>
      <c r="C79" s="11" t="str">
        <f>"(line "&amp;A63&amp;"minus line "&amp;A71&amp;")"</f>
        <v>(line 1minus line 8)</v>
      </c>
      <c r="D79" s="25">
        <f>D63-D71</f>
        <v>0</v>
      </c>
      <c r="E79" s="23"/>
      <c r="F79" s="23"/>
      <c r="G79" s="61"/>
      <c r="H79" s="23"/>
      <c r="I79" s="25">
        <f>I63-I71</f>
        <v>0</v>
      </c>
      <c r="J79" s="11"/>
      <c r="K79" s="62"/>
    </row>
    <row r="80" spans="1:11">
      <c r="A80" s="7">
        <f t="shared" si="0"/>
        <v>16</v>
      </c>
      <c r="B80" s="13" t="s">
        <v>51</v>
      </c>
      <c r="C80" s="11" t="s">
        <v>72</v>
      </c>
      <c r="D80" s="25">
        <f>D64-D72</f>
        <v>21572.844615384587</v>
      </c>
      <c r="E80" s="23"/>
      <c r="F80" s="23"/>
      <c r="G80" s="22"/>
      <c r="H80" s="23"/>
      <c r="I80" s="25">
        <f>I64-I72</f>
        <v>21572.844615384587</v>
      </c>
      <c r="J80" s="11"/>
      <c r="K80" s="62"/>
    </row>
    <row r="81" spans="1:11">
      <c r="A81" s="7">
        <f t="shared" si="0"/>
        <v>17</v>
      </c>
      <c r="B81" s="13" t="s">
        <v>53</v>
      </c>
      <c r="C81" s="11" t="str">
        <f>"(line "&amp;A65&amp;" minus line "&amp;A73&amp;")"</f>
        <v>(line 3 minus line 10)</v>
      </c>
      <c r="D81" s="25">
        <f>D65-D73</f>
        <v>0</v>
      </c>
      <c r="E81" s="23"/>
      <c r="F81" s="23"/>
      <c r="G81" s="61"/>
      <c r="H81" s="23"/>
      <c r="I81" s="25">
        <f>I65-I73</f>
        <v>0</v>
      </c>
      <c r="J81" s="11"/>
      <c r="K81" s="62"/>
    </row>
    <row r="82" spans="1:11">
      <c r="A82" s="7">
        <f t="shared" si="0"/>
        <v>18</v>
      </c>
      <c r="B82" s="13" t="s">
        <v>55</v>
      </c>
      <c r="C82" s="11" t="s">
        <v>73</v>
      </c>
      <c r="D82" s="25">
        <f>D66-D74</f>
        <v>0</v>
      </c>
      <c r="E82" s="23"/>
      <c r="F82" s="23"/>
      <c r="G82" s="61"/>
      <c r="H82" s="23"/>
      <c r="I82" s="25">
        <f>I66-I74</f>
        <v>0</v>
      </c>
      <c r="J82" s="11"/>
      <c r="K82" s="62"/>
    </row>
    <row r="83" spans="1:11" ht="13.5" thickBot="1">
      <c r="A83" s="7">
        <f t="shared" si="0"/>
        <v>19</v>
      </c>
      <c r="B83" s="13" t="s">
        <v>58</v>
      </c>
      <c r="C83" s="11" t="str">
        <f>"(line "&amp;A67&amp;" minus line "&amp;A75&amp;")"</f>
        <v>(line 5 minus line 12)</v>
      </c>
      <c r="D83" s="60">
        <f>D67-D75</f>
        <v>0</v>
      </c>
      <c r="E83" s="23"/>
      <c r="F83" s="23"/>
      <c r="G83" s="61"/>
      <c r="H83" s="23"/>
      <c r="I83" s="60">
        <f>I67-I75</f>
        <v>0</v>
      </c>
      <c r="J83" s="11"/>
      <c r="K83" s="62"/>
    </row>
    <row r="84" spans="1:11">
      <c r="A84" s="7">
        <f t="shared" si="0"/>
        <v>20</v>
      </c>
      <c r="B84" s="13" t="s">
        <v>74</v>
      </c>
      <c r="C84" s="11" t="s">
        <v>75</v>
      </c>
      <c r="D84" s="25">
        <f>SUM(D79:D83)</f>
        <v>21572.844615384587</v>
      </c>
      <c r="E84" s="23"/>
      <c r="F84" s="23" t="s">
        <v>76</v>
      </c>
      <c r="G84" s="61">
        <f>IF(I84&gt;0,I84/D84,0)</f>
        <v>1</v>
      </c>
      <c r="H84" s="23"/>
      <c r="I84" s="25">
        <f>SUM(I79:I83)</f>
        <v>21572.844615384587</v>
      </c>
      <c r="J84" s="11"/>
      <c r="K84" s="11"/>
    </row>
    <row r="85" spans="1:11">
      <c r="A85" s="7"/>
      <c r="B85" s="4"/>
      <c r="C85" s="11"/>
      <c r="D85" s="25"/>
      <c r="E85" s="11"/>
      <c r="F85" s="4"/>
      <c r="G85" s="4"/>
      <c r="H85" s="11"/>
      <c r="I85" s="25"/>
      <c r="J85" s="11"/>
      <c r="K85" s="62"/>
    </row>
    <row r="86" spans="1:11">
      <c r="A86" s="7">
        <f>+A84+1</f>
        <v>21</v>
      </c>
      <c r="B86" s="5" t="s">
        <v>77</v>
      </c>
      <c r="C86" s="11"/>
      <c r="D86" s="25"/>
      <c r="E86" s="11"/>
      <c r="F86" s="11"/>
      <c r="G86" s="11"/>
      <c r="H86" s="11"/>
      <c r="I86" s="25"/>
      <c r="J86" s="11"/>
      <c r="K86" s="11"/>
    </row>
    <row r="87" spans="1:11">
      <c r="A87" s="7">
        <f t="shared" si="0"/>
        <v>22</v>
      </c>
      <c r="B87" s="13" t="s">
        <v>78</v>
      </c>
      <c r="C87" s="11" t="s">
        <v>79</v>
      </c>
      <c r="D87" s="25">
        <f>-'4- Rate Base'!E44</f>
        <v>0</v>
      </c>
      <c r="E87" s="11"/>
      <c r="F87" s="11" t="s">
        <v>50</v>
      </c>
      <c r="G87" s="63" t="s">
        <v>80</v>
      </c>
      <c r="H87" s="23"/>
      <c r="I87" s="25">
        <v>0</v>
      </c>
      <c r="J87" s="11"/>
      <c r="K87" s="62"/>
    </row>
    <row r="88" spans="1:11">
      <c r="A88" s="7">
        <f t="shared" si="0"/>
        <v>23</v>
      </c>
      <c r="B88" s="13" t="s">
        <v>81</v>
      </c>
      <c r="C88" s="11" t="s">
        <v>82</v>
      </c>
      <c r="D88" s="25">
        <f>-'4- Rate Base'!F44</f>
        <v>-333</v>
      </c>
      <c r="E88" s="11"/>
      <c r="F88" s="11" t="s">
        <v>83</v>
      </c>
      <c r="G88" s="64">
        <f>+G84</f>
        <v>1</v>
      </c>
      <c r="H88" s="23"/>
      <c r="I88" s="25">
        <f>D88*G88</f>
        <v>-333</v>
      </c>
      <c r="J88" s="11"/>
      <c r="K88" s="62"/>
    </row>
    <row r="89" spans="1:11">
      <c r="A89" s="7">
        <f t="shared" si="0"/>
        <v>24</v>
      </c>
      <c r="B89" s="13" t="s">
        <v>84</v>
      </c>
      <c r="C89" s="11" t="s">
        <v>85</v>
      </c>
      <c r="D89" s="25">
        <f>-'4- Rate Base'!G44</f>
        <v>0</v>
      </c>
      <c r="E89" s="11"/>
      <c r="F89" s="11" t="s">
        <v>83</v>
      </c>
      <c r="G89" s="64">
        <f>+G88</f>
        <v>1</v>
      </c>
      <c r="H89" s="23"/>
      <c r="I89" s="25">
        <f>D89*G89</f>
        <v>0</v>
      </c>
      <c r="J89" s="11"/>
      <c r="K89" s="62"/>
    </row>
    <row r="90" spans="1:11">
      <c r="A90" s="7">
        <f t="shared" si="0"/>
        <v>25</v>
      </c>
      <c r="B90" s="13" t="s">
        <v>86</v>
      </c>
      <c r="C90" s="11" t="s">
        <v>87</v>
      </c>
      <c r="D90" s="25">
        <f>-'4- Rate Base'!H44</f>
        <v>0</v>
      </c>
      <c r="E90" s="11"/>
      <c r="F90" s="11" t="s">
        <v>83</v>
      </c>
      <c r="G90" s="64">
        <f>+G89</f>
        <v>1</v>
      </c>
      <c r="H90" s="23"/>
      <c r="I90" s="25">
        <f>D90*G90</f>
        <v>0</v>
      </c>
      <c r="J90" s="11"/>
      <c r="K90" s="62"/>
    </row>
    <row r="91" spans="1:11">
      <c r="A91" s="7">
        <f t="shared" si="0"/>
        <v>26</v>
      </c>
      <c r="B91" s="4" t="s">
        <v>88</v>
      </c>
      <c r="C91" s="4" t="s">
        <v>89</v>
      </c>
      <c r="D91" s="25">
        <f>-'4- Rate Base'!I44</f>
        <v>0</v>
      </c>
      <c r="E91" s="11"/>
      <c r="F91" s="11" t="s">
        <v>83</v>
      </c>
      <c r="G91" s="64">
        <f>+G89</f>
        <v>1</v>
      </c>
      <c r="H91" s="23"/>
      <c r="I91" s="25">
        <f>D91*G91</f>
        <v>0</v>
      </c>
      <c r="J91" s="11"/>
      <c r="K91" s="62"/>
    </row>
    <row r="92" spans="1:11">
      <c r="A92" s="7" t="s">
        <v>90</v>
      </c>
      <c r="B92" s="4" t="s">
        <v>91</v>
      </c>
      <c r="C92" s="4" t="s">
        <v>92</v>
      </c>
      <c r="D92" s="25">
        <f>-'4- Rate Base'!I59</f>
        <v>0</v>
      </c>
      <c r="E92" s="11"/>
      <c r="F92" s="11" t="s">
        <v>38</v>
      </c>
      <c r="G92" s="64">
        <f>G93</f>
        <v>1</v>
      </c>
      <c r="H92" s="23"/>
      <c r="I92" s="25">
        <f>+G92*D92</f>
        <v>0</v>
      </c>
      <c r="J92" s="11"/>
      <c r="K92" s="62"/>
    </row>
    <row r="93" spans="1:11">
      <c r="A93" s="7">
        <f>+A91+1</f>
        <v>27</v>
      </c>
      <c r="B93" s="35" t="s">
        <v>93</v>
      </c>
      <c r="C93" s="38" t="s">
        <v>94</v>
      </c>
      <c r="D93" s="25">
        <f>'4- Rate Base'!E24</f>
        <v>0</v>
      </c>
      <c r="E93" s="38"/>
      <c r="F93" s="38" t="str">
        <f>+F94</f>
        <v>DA</v>
      </c>
      <c r="G93" s="64">
        <v>1</v>
      </c>
      <c r="H93" s="38"/>
      <c r="I93" s="25">
        <f>+G93*D93</f>
        <v>0</v>
      </c>
      <c r="K93" s="62"/>
    </row>
    <row r="94" spans="1:11">
      <c r="A94" s="7">
        <f t="shared" si="0"/>
        <v>28</v>
      </c>
      <c r="B94" s="35" t="s">
        <v>95</v>
      </c>
      <c r="C94" s="38" t="s">
        <v>96</v>
      </c>
      <c r="D94" s="25">
        <f>+'4- Rate Base'!C44</f>
        <v>0</v>
      </c>
      <c r="E94" s="38"/>
      <c r="F94" s="38" t="str">
        <f>+F95</f>
        <v>DA</v>
      </c>
      <c r="G94" s="64">
        <v>1</v>
      </c>
      <c r="H94" s="38"/>
      <c r="I94" s="25">
        <f>+G94*D94</f>
        <v>0</v>
      </c>
      <c r="K94" s="62"/>
    </row>
    <row r="95" spans="1:11" ht="13.5" thickBot="1">
      <c r="A95" s="7">
        <f t="shared" si="0"/>
        <v>29</v>
      </c>
      <c r="B95" s="35" t="s">
        <v>97</v>
      </c>
      <c r="C95" s="38" t="s">
        <v>98</v>
      </c>
      <c r="D95" s="60">
        <f>+'4- Rate Base'!D44</f>
        <v>0</v>
      </c>
      <c r="E95" s="38"/>
      <c r="F95" s="38" t="s">
        <v>38</v>
      </c>
      <c r="G95" s="64">
        <v>1</v>
      </c>
      <c r="H95" s="38"/>
      <c r="I95" s="60">
        <f>+G95*D95</f>
        <v>0</v>
      </c>
      <c r="K95" s="62"/>
    </row>
    <row r="96" spans="1:11">
      <c r="A96" s="7">
        <f t="shared" si="0"/>
        <v>30</v>
      </c>
      <c r="B96" s="13" t="s">
        <v>99</v>
      </c>
      <c r="C96" s="11" t="s">
        <v>100</v>
      </c>
      <c r="D96" s="25">
        <f>SUM(D87:D95)</f>
        <v>-333</v>
      </c>
      <c r="E96" s="11"/>
      <c r="F96" s="11"/>
      <c r="G96" s="23"/>
      <c r="H96" s="23"/>
      <c r="I96" s="25">
        <f>SUM(I87:I95)</f>
        <v>-333</v>
      </c>
      <c r="J96" s="11"/>
      <c r="K96" s="11"/>
    </row>
    <row r="97" spans="1:11">
      <c r="A97" s="7"/>
      <c r="B97" s="4"/>
      <c r="C97" s="11"/>
      <c r="D97" s="25"/>
      <c r="E97" s="11"/>
      <c r="F97" s="11"/>
      <c r="G97" s="62"/>
      <c r="H97" s="11"/>
      <c r="I97" s="25"/>
      <c r="J97" s="11"/>
      <c r="K97" s="62"/>
    </row>
    <row r="98" spans="1:11">
      <c r="A98" s="7">
        <f>+A96+1</f>
        <v>31</v>
      </c>
      <c r="B98" s="5" t="s">
        <v>101</v>
      </c>
      <c r="C98" s="65" t="s">
        <v>102</v>
      </c>
      <c r="D98" s="25">
        <f>+'4- Rate Base'!F24</f>
        <v>0</v>
      </c>
      <c r="E98" s="11"/>
      <c r="F98" s="11" t="s">
        <v>25</v>
      </c>
      <c r="G98" s="22">
        <f>+G72</f>
        <v>1</v>
      </c>
      <c r="H98" s="23"/>
      <c r="I98" s="25">
        <f>+G98*D98</f>
        <v>0</v>
      </c>
      <c r="J98" s="11"/>
      <c r="K98" s="11"/>
    </row>
    <row r="99" spans="1:11">
      <c r="A99" s="7"/>
      <c r="B99" s="13"/>
      <c r="C99" s="11"/>
      <c r="D99" s="25"/>
      <c r="E99" s="11"/>
      <c r="F99" s="11"/>
      <c r="G99" s="22"/>
      <c r="H99" s="23"/>
      <c r="I99" s="25"/>
      <c r="J99" s="11"/>
      <c r="K99" s="11"/>
    </row>
    <row r="100" spans="1:11">
      <c r="A100" s="7">
        <f>+A98+1</f>
        <v>32</v>
      </c>
      <c r="B100" s="13" t="s">
        <v>103</v>
      </c>
      <c r="C100" s="11" t="s">
        <v>104</v>
      </c>
      <c r="D100" s="25"/>
      <c r="E100" s="11"/>
      <c r="F100" s="11"/>
      <c r="G100" s="22"/>
      <c r="H100" s="23"/>
      <c r="I100" s="25"/>
      <c r="J100" s="11"/>
      <c r="K100" s="11"/>
    </row>
    <row r="101" spans="1:11">
      <c r="A101" s="7">
        <f t="shared" si="0"/>
        <v>33</v>
      </c>
      <c r="B101" s="13" t="s">
        <v>105</v>
      </c>
      <c r="C101" s="4" t="s">
        <v>106</v>
      </c>
      <c r="D101" s="25">
        <f>(D134-D131)/8</f>
        <v>33758.821250000001</v>
      </c>
      <c r="E101" s="11"/>
      <c r="F101" s="11"/>
      <c r="G101" s="22"/>
      <c r="H101" s="23"/>
      <c r="I101" s="25">
        <f>(I134-I131)/8</f>
        <v>33758.821250000001</v>
      </c>
      <c r="J101" s="13"/>
      <c r="K101" s="62"/>
    </row>
    <row r="102" spans="1:11">
      <c r="A102" s="7">
        <f t="shared" si="0"/>
        <v>34</v>
      </c>
      <c r="B102" s="13" t="s">
        <v>107</v>
      </c>
      <c r="C102" s="65" t="s">
        <v>108</v>
      </c>
      <c r="D102" s="25">
        <f>+'4- Rate Base'!G24</f>
        <v>0</v>
      </c>
      <c r="E102" s="11"/>
      <c r="F102" s="11" t="s">
        <v>25</v>
      </c>
      <c r="G102" s="22">
        <f>+G119</f>
        <v>1</v>
      </c>
      <c r="H102" s="23"/>
      <c r="I102" s="25">
        <f>+G102*D102</f>
        <v>0</v>
      </c>
      <c r="J102" s="11" t="s">
        <v>11</v>
      </c>
      <c r="K102" s="62"/>
    </row>
    <row r="103" spans="1:11" ht="13.5" thickBot="1">
      <c r="A103" s="7">
        <f t="shared" si="0"/>
        <v>35</v>
      </c>
      <c r="B103" s="13" t="s">
        <v>109</v>
      </c>
      <c r="C103" s="23" t="s">
        <v>110</v>
      </c>
      <c r="D103" s="60">
        <f>+'4- Rate Base'!H24</f>
        <v>0</v>
      </c>
      <c r="E103" s="11"/>
      <c r="F103" s="11" t="s">
        <v>111</v>
      </c>
      <c r="G103" s="22">
        <f>+G68</f>
        <v>1</v>
      </c>
      <c r="H103" s="23"/>
      <c r="I103" s="60">
        <f>+G103*D103</f>
        <v>0</v>
      </c>
      <c r="J103" s="11"/>
      <c r="K103" s="62"/>
    </row>
    <row r="104" spans="1:11">
      <c r="A104" s="7">
        <f t="shared" si="0"/>
        <v>36</v>
      </c>
      <c r="B104" s="13" t="s">
        <v>112</v>
      </c>
      <c r="C104" s="13" t="s">
        <v>113</v>
      </c>
      <c r="D104" s="25">
        <f>SUM(D101:D103)</f>
        <v>33758.821250000001</v>
      </c>
      <c r="E104" s="13"/>
      <c r="F104" s="13"/>
      <c r="G104" s="1"/>
      <c r="H104" s="1"/>
      <c r="I104" s="25">
        <f>I101+I102+I103</f>
        <v>33758.821250000001</v>
      </c>
      <c r="J104" s="13"/>
      <c r="K104" s="13"/>
    </row>
    <row r="105" spans="1:11" ht="13.5" thickBot="1">
      <c r="A105" s="7"/>
      <c r="B105" s="4"/>
      <c r="C105" s="11"/>
      <c r="D105" s="60"/>
      <c r="E105" s="11"/>
      <c r="F105" s="11"/>
      <c r="G105" s="11"/>
      <c r="H105" s="11"/>
      <c r="I105" s="60"/>
      <c r="J105" s="11"/>
      <c r="K105" s="11"/>
    </row>
    <row r="106" spans="1:11" ht="13.5" thickBot="1">
      <c r="A106" s="7">
        <f>+A104+1</f>
        <v>37</v>
      </c>
      <c r="B106" s="13" t="s">
        <v>114</v>
      </c>
      <c r="C106" s="11" t="s">
        <v>115</v>
      </c>
      <c r="D106" s="66">
        <f>+D104+D98+D96+D84</f>
        <v>54998.665865384588</v>
      </c>
      <c r="E106" s="23"/>
      <c r="F106" s="23"/>
      <c r="G106" s="67"/>
      <c r="H106" s="23"/>
      <c r="I106" s="66">
        <f>+I104+I98+I96+I84</f>
        <v>54998.665865384588</v>
      </c>
      <c r="J106" s="11"/>
      <c r="K106" s="62"/>
    </row>
    <row r="107" spans="1:11" ht="13.5" thickTop="1">
      <c r="A107" s="7"/>
      <c r="B107" s="13"/>
      <c r="C107" s="11"/>
      <c r="D107" s="23"/>
      <c r="E107" s="23"/>
      <c r="F107" s="23"/>
      <c r="G107" s="67"/>
      <c r="H107" s="23"/>
      <c r="I107" s="23"/>
      <c r="J107" s="11"/>
      <c r="K107" s="62"/>
    </row>
    <row r="108" spans="1:11">
      <c r="A108" s="7"/>
      <c r="B108" s="13"/>
      <c r="C108" s="11"/>
      <c r="D108" s="23"/>
      <c r="E108" s="23"/>
      <c r="F108" s="23"/>
      <c r="G108" s="67"/>
      <c r="H108" s="23"/>
      <c r="I108" s="23"/>
      <c r="J108" s="11"/>
      <c r="K108" s="62"/>
    </row>
    <row r="109" spans="1:11">
      <c r="A109" s="7"/>
      <c r="B109" s="13"/>
      <c r="C109" s="11"/>
      <c r="D109" s="11"/>
      <c r="E109" s="11"/>
      <c r="F109" s="11"/>
      <c r="G109" s="11"/>
      <c r="H109" s="11"/>
      <c r="I109" s="11"/>
      <c r="J109" s="11"/>
      <c r="K109" s="68" t="s">
        <v>116</v>
      </c>
    </row>
    <row r="110" spans="1:11">
      <c r="A110" s="7"/>
      <c r="B110" s="13"/>
      <c r="C110" s="11"/>
      <c r="D110" s="11"/>
      <c r="E110" s="11"/>
      <c r="F110" s="11"/>
      <c r="G110" s="11"/>
      <c r="H110" s="11"/>
      <c r="I110" s="11"/>
      <c r="J110" s="11"/>
      <c r="K110" s="68"/>
    </row>
    <row r="111" spans="1:11">
      <c r="A111" s="7"/>
      <c r="B111" s="13" t="s">
        <v>2</v>
      </c>
      <c r="C111" s="11"/>
      <c r="D111" s="12" t="s">
        <v>4</v>
      </c>
      <c r="E111" s="11"/>
      <c r="F111" s="11"/>
      <c r="G111" s="11"/>
      <c r="H111" s="11"/>
      <c r="I111" s="1"/>
      <c r="J111" s="11"/>
      <c r="K111" s="68" t="str">
        <f>K3</f>
        <v>For  the 12 months ended 12/31/2020</v>
      </c>
    </row>
    <row r="112" spans="1:11">
      <c r="A112" s="7"/>
      <c r="B112" s="13"/>
      <c r="C112" s="11"/>
      <c r="D112" s="12" t="s">
        <v>6</v>
      </c>
      <c r="E112" s="11"/>
      <c r="F112" s="11"/>
      <c r="G112" s="11"/>
      <c r="H112" s="11"/>
      <c r="I112" s="11"/>
      <c r="J112" s="11"/>
      <c r="K112" s="11"/>
    </row>
    <row r="113" spans="1:11">
      <c r="A113" s="7"/>
      <c r="B113" s="4"/>
      <c r="C113" s="11"/>
      <c r="D113" s="50" t="str">
        <f>D5</f>
        <v>NextEra Energy Transmission MidAtlantic Indiana, Inc.</v>
      </c>
      <c r="E113" s="11"/>
      <c r="F113" s="11"/>
      <c r="G113" s="11"/>
      <c r="H113" s="11"/>
      <c r="I113" s="11"/>
      <c r="J113" s="11"/>
      <c r="K113" s="11"/>
    </row>
    <row r="114" spans="1:11">
      <c r="A114" s="69"/>
      <c r="B114" s="69"/>
      <c r="C114" s="69"/>
      <c r="D114" s="69"/>
      <c r="E114" s="69"/>
      <c r="F114" s="69"/>
      <c r="G114" s="69"/>
      <c r="H114" s="69"/>
      <c r="I114" s="69"/>
      <c r="J114" s="69"/>
      <c r="K114" s="69"/>
    </row>
    <row r="115" spans="1:11">
      <c r="A115" s="7"/>
      <c r="B115" s="18" t="s">
        <v>8</v>
      </c>
      <c r="C115" s="18" t="s">
        <v>9</v>
      </c>
      <c r="D115" s="18" t="s">
        <v>10</v>
      </c>
      <c r="E115" s="11" t="s">
        <v>11</v>
      </c>
      <c r="F115" s="11"/>
      <c r="G115" s="17" t="s">
        <v>12</v>
      </c>
      <c r="H115" s="11"/>
      <c r="I115" s="17" t="s">
        <v>13</v>
      </c>
      <c r="J115" s="11"/>
      <c r="K115" s="11"/>
    </row>
    <row r="116" spans="1:11">
      <c r="A116" s="7" t="s">
        <v>14</v>
      </c>
      <c r="B116" s="13"/>
      <c r="C116" s="52"/>
      <c r="D116" s="11"/>
      <c r="E116" s="11"/>
      <c r="F116" s="11"/>
      <c r="G116" s="7"/>
      <c r="H116" s="11"/>
      <c r="I116" s="53" t="s">
        <v>41</v>
      </c>
      <c r="J116" s="11"/>
      <c r="K116" s="53"/>
    </row>
    <row r="117" spans="1:11" ht="13.5" thickBot="1">
      <c r="A117" s="19" t="s">
        <v>16</v>
      </c>
      <c r="B117" s="13"/>
      <c r="C117" s="54" t="s">
        <v>42</v>
      </c>
      <c r="D117" s="53" t="s">
        <v>43</v>
      </c>
      <c r="E117" s="55"/>
      <c r="F117" s="53" t="s">
        <v>44</v>
      </c>
      <c r="G117" s="4"/>
      <c r="H117" s="55"/>
      <c r="I117" s="7" t="s">
        <v>45</v>
      </c>
      <c r="J117" s="11"/>
      <c r="K117" s="53"/>
    </row>
    <row r="118" spans="1:11">
      <c r="A118" s="7"/>
      <c r="B118" s="13" t="s">
        <v>117</v>
      </c>
      <c r="C118" s="11"/>
      <c r="D118" s="11"/>
      <c r="E118" s="11"/>
      <c r="F118" s="11"/>
      <c r="G118" s="11"/>
      <c r="H118" s="11"/>
      <c r="I118" s="11"/>
      <c r="J118" s="11"/>
      <c r="K118" s="11"/>
    </row>
    <row r="119" spans="1:11">
      <c r="A119" s="7">
        <v>1</v>
      </c>
      <c r="B119" s="13" t="s">
        <v>118</v>
      </c>
      <c r="C119" s="11" t="s">
        <v>119</v>
      </c>
      <c r="D119" s="25">
        <f>'5-P3 Support'!C24</f>
        <v>255810.76</v>
      </c>
      <c r="E119" s="11"/>
      <c r="F119" s="11" t="s">
        <v>25</v>
      </c>
      <c r="G119" s="22">
        <f>+I191</f>
        <v>1</v>
      </c>
      <c r="H119" s="23"/>
      <c r="I119" s="25">
        <f t="shared" ref="I119:I129" si="1">+G119*D119</f>
        <v>255810.76</v>
      </c>
      <c r="J119" s="13"/>
      <c r="K119" s="11"/>
    </row>
    <row r="120" spans="1:11">
      <c r="A120" s="34">
        <f>+A119+1</f>
        <v>2</v>
      </c>
      <c r="B120" s="35" t="s">
        <v>120</v>
      </c>
      <c r="C120" s="11" t="s">
        <v>121</v>
      </c>
      <c r="D120" s="25">
        <f>'5-P3 Support'!D24</f>
        <v>0</v>
      </c>
      <c r="E120" s="38"/>
      <c r="F120" s="38" t="str">
        <f>+F119</f>
        <v>TP</v>
      </c>
      <c r="G120" s="22">
        <f>+G119</f>
        <v>1</v>
      </c>
      <c r="H120" s="38"/>
      <c r="I120" s="25">
        <f>+G120*D120</f>
        <v>0</v>
      </c>
      <c r="K120" s="11"/>
    </row>
    <row r="121" spans="1:11">
      <c r="A121" s="34">
        <f t="shared" ref="A121:A167" si="2">+A120+1</f>
        <v>3</v>
      </c>
      <c r="B121" s="13" t="s">
        <v>122</v>
      </c>
      <c r="C121" s="11" t="s">
        <v>123</v>
      </c>
      <c r="D121" s="25">
        <f>'5-P3 Support'!E24</f>
        <v>0</v>
      </c>
      <c r="E121" s="11"/>
      <c r="F121" s="11" t="str">
        <f>+F120</f>
        <v>TP</v>
      </c>
      <c r="G121" s="22">
        <f>+G120</f>
        <v>1</v>
      </c>
      <c r="H121" s="23"/>
      <c r="I121" s="25">
        <f t="shared" si="1"/>
        <v>0</v>
      </c>
      <c r="J121" s="13"/>
      <c r="K121" s="11"/>
    </row>
    <row r="122" spans="1:11">
      <c r="A122" s="34">
        <f t="shared" si="2"/>
        <v>4</v>
      </c>
      <c r="B122" s="13" t="s">
        <v>124</v>
      </c>
      <c r="C122" s="11" t="s">
        <v>125</v>
      </c>
      <c r="D122" s="25">
        <f>'5-P3 Support'!F24</f>
        <v>14259.810000000001</v>
      </c>
      <c r="E122" s="11"/>
      <c r="F122" s="11" t="s">
        <v>57</v>
      </c>
      <c r="G122" s="22">
        <f>+G74</f>
        <v>1</v>
      </c>
      <c r="H122" s="23"/>
      <c r="I122" s="25">
        <f t="shared" si="1"/>
        <v>14259.810000000001</v>
      </c>
      <c r="J122" s="11"/>
      <c r="K122" s="11" t="s">
        <v>11</v>
      </c>
    </row>
    <row r="123" spans="1:11">
      <c r="A123" s="34">
        <f t="shared" si="2"/>
        <v>5</v>
      </c>
      <c r="B123" s="13" t="s">
        <v>126</v>
      </c>
      <c r="C123" s="11" t="s">
        <v>127</v>
      </c>
      <c r="D123" s="25">
        <f>'5-P3 Support'!G24</f>
        <v>0</v>
      </c>
      <c r="E123" s="11"/>
      <c r="F123" s="11" t="s">
        <v>57</v>
      </c>
      <c r="G123" s="22">
        <f>+G122</f>
        <v>1</v>
      </c>
      <c r="H123" s="23"/>
      <c r="I123" s="25">
        <f t="shared" si="1"/>
        <v>0</v>
      </c>
      <c r="J123" s="11"/>
      <c r="K123" s="11"/>
    </row>
    <row r="124" spans="1:11">
      <c r="A124" s="34">
        <f t="shared" si="2"/>
        <v>6</v>
      </c>
      <c r="B124" s="13" t="s">
        <v>128</v>
      </c>
      <c r="C124" s="11" t="s">
        <v>129</v>
      </c>
      <c r="D124" s="25">
        <f>'5-P3 Support'!H24</f>
        <v>0</v>
      </c>
      <c r="E124" s="11"/>
      <c r="F124" s="11" t="s">
        <v>57</v>
      </c>
      <c r="G124" s="22">
        <f>+G123</f>
        <v>1</v>
      </c>
      <c r="H124" s="23"/>
      <c r="I124" s="25">
        <f t="shared" si="1"/>
        <v>0</v>
      </c>
      <c r="J124" s="11"/>
      <c r="K124" s="11"/>
    </row>
    <row r="125" spans="1:11" s="72" customFormat="1">
      <c r="A125" s="34" t="s">
        <v>130</v>
      </c>
      <c r="B125" s="13" t="s">
        <v>131</v>
      </c>
      <c r="C125" s="11" t="s">
        <v>132</v>
      </c>
      <c r="D125" s="70">
        <f>+'7 - PBOP'!E16</f>
        <v>0</v>
      </c>
      <c r="E125" s="71"/>
      <c r="F125" s="11" t="s">
        <v>57</v>
      </c>
      <c r="G125" s="22">
        <f>+G124</f>
        <v>1</v>
      </c>
      <c r="H125" s="23"/>
      <c r="I125" s="25">
        <f>+G125*D125</f>
        <v>0</v>
      </c>
      <c r="J125" s="71"/>
      <c r="K125" s="71"/>
    </row>
    <row r="126" spans="1:11">
      <c r="A126" s="34">
        <f>+A124+1</f>
        <v>7</v>
      </c>
      <c r="B126" s="13" t="s">
        <v>133</v>
      </c>
      <c r="C126" s="11" t="s">
        <v>134</v>
      </c>
      <c r="D126" s="25">
        <f>'5-P3 Support'!I24</f>
        <v>0</v>
      </c>
      <c r="E126" s="11"/>
      <c r="F126" s="73" t="s">
        <v>25</v>
      </c>
      <c r="G126" s="22">
        <f>+G119</f>
        <v>1</v>
      </c>
      <c r="H126" s="23"/>
      <c r="I126" s="25">
        <f t="shared" si="1"/>
        <v>0</v>
      </c>
      <c r="J126" s="11"/>
      <c r="K126" s="11"/>
    </row>
    <row r="127" spans="1:11" s="72" customFormat="1">
      <c r="A127" s="34" t="s">
        <v>135</v>
      </c>
      <c r="B127" s="13" t="s">
        <v>136</v>
      </c>
      <c r="C127" s="11" t="s">
        <v>137</v>
      </c>
      <c r="D127" s="70">
        <f>+'7 - PBOP'!E13</f>
        <v>0</v>
      </c>
      <c r="E127" s="71"/>
      <c r="F127" s="11" t="s">
        <v>57</v>
      </c>
      <c r="G127" s="22">
        <f>+G125</f>
        <v>1</v>
      </c>
      <c r="H127" s="23"/>
      <c r="I127" s="25">
        <f>+G127*D127</f>
        <v>0</v>
      </c>
      <c r="J127" s="71"/>
      <c r="K127" s="71"/>
    </row>
    <row r="128" spans="1:11">
      <c r="A128" s="34">
        <f>+A126+1</f>
        <v>8</v>
      </c>
      <c r="B128" s="13" t="s">
        <v>58</v>
      </c>
      <c r="C128" s="11" t="s">
        <v>138</v>
      </c>
      <c r="D128" s="74">
        <v>0</v>
      </c>
      <c r="E128" s="11"/>
      <c r="F128" s="11" t="s">
        <v>60</v>
      </c>
      <c r="G128" s="22">
        <f>+G75</f>
        <v>1</v>
      </c>
      <c r="H128" s="23"/>
      <c r="I128" s="25">
        <f t="shared" si="1"/>
        <v>0</v>
      </c>
      <c r="J128" s="11"/>
      <c r="K128" s="11"/>
    </row>
    <row r="129" spans="1:11">
      <c r="A129" s="34">
        <f t="shared" si="2"/>
        <v>9</v>
      </c>
      <c r="B129" s="13" t="s">
        <v>139</v>
      </c>
      <c r="C129" s="11" t="s">
        <v>140</v>
      </c>
      <c r="D129" s="25">
        <f>'5-P3 Support'!J24</f>
        <v>0</v>
      </c>
      <c r="E129" s="11"/>
      <c r="F129" s="11" t="str">
        <f>+F131</f>
        <v>DA</v>
      </c>
      <c r="G129" s="75">
        <v>1</v>
      </c>
      <c r="H129" s="23"/>
      <c r="I129" s="25">
        <f t="shared" si="1"/>
        <v>0</v>
      </c>
      <c r="J129" s="11"/>
      <c r="K129" s="11"/>
    </row>
    <row r="130" spans="1:11">
      <c r="A130" s="34">
        <f t="shared" si="2"/>
        <v>10</v>
      </c>
      <c r="B130" s="35" t="s">
        <v>141</v>
      </c>
      <c r="C130" s="38"/>
      <c r="D130" s="25"/>
      <c r="E130" s="38"/>
      <c r="F130" s="38"/>
      <c r="G130" s="75"/>
      <c r="H130" s="38"/>
      <c r="I130" s="25"/>
      <c r="K130" s="11"/>
    </row>
    <row r="131" spans="1:11">
      <c r="A131" s="34">
        <f t="shared" si="2"/>
        <v>11</v>
      </c>
      <c r="B131" s="35" t="s">
        <v>142</v>
      </c>
      <c r="C131" s="38" t="s">
        <v>143</v>
      </c>
      <c r="D131" s="25">
        <f>'5-P3 Support'!K24</f>
        <v>0</v>
      </c>
      <c r="E131" s="38"/>
      <c r="F131" s="38" t="s">
        <v>38</v>
      </c>
      <c r="G131" s="75">
        <v>1</v>
      </c>
      <c r="H131" s="38"/>
      <c r="I131" s="25">
        <f>+G131*D131</f>
        <v>0</v>
      </c>
      <c r="K131" s="11"/>
    </row>
    <row r="132" spans="1:11">
      <c r="A132" s="34">
        <f t="shared" si="2"/>
        <v>12</v>
      </c>
      <c r="B132" s="35" t="s">
        <v>144</v>
      </c>
      <c r="C132" s="11" t="s">
        <v>145</v>
      </c>
      <c r="D132" s="25">
        <f>'5-P3 Support'!L24</f>
        <v>0</v>
      </c>
      <c r="E132" s="38"/>
      <c r="F132" s="38" t="s">
        <v>25</v>
      </c>
      <c r="G132" s="75">
        <f>+G119</f>
        <v>1</v>
      </c>
      <c r="H132" s="38"/>
      <c r="I132" s="25">
        <f>+G132*D132</f>
        <v>0</v>
      </c>
      <c r="K132" s="11"/>
    </row>
    <row r="133" spans="1:11" ht="13.5" thickBot="1">
      <c r="A133" s="34">
        <f t="shared" si="2"/>
        <v>13</v>
      </c>
      <c r="B133" s="35" t="s">
        <v>146</v>
      </c>
      <c r="C133" s="38" t="s">
        <v>147</v>
      </c>
      <c r="D133" s="60">
        <f>+D131+D132</f>
        <v>0</v>
      </c>
      <c r="E133" s="38"/>
      <c r="F133" s="38"/>
      <c r="G133" s="75"/>
      <c r="H133" s="38"/>
      <c r="I133" s="60"/>
      <c r="K133" s="11"/>
    </row>
    <row r="134" spans="1:11">
      <c r="A134" s="34">
        <f t="shared" si="2"/>
        <v>14</v>
      </c>
      <c r="B134" s="76" t="s">
        <v>148</v>
      </c>
      <c r="C134" s="77" t="s">
        <v>149</v>
      </c>
      <c r="D134" s="25">
        <f>+D119-D121-D120+D122-D123-D124-D125+D126+D127+D128+D129+D133</f>
        <v>270070.57</v>
      </c>
      <c r="E134" s="25"/>
      <c r="F134" s="25"/>
      <c r="G134" s="25"/>
      <c r="H134" s="25"/>
      <c r="I134" s="25">
        <f>+I119-I121-I120+I122-I123-I124-I125+I126+I127+I128+I129+I133</f>
        <v>270070.57</v>
      </c>
      <c r="J134" s="11"/>
      <c r="K134" s="11"/>
    </row>
    <row r="135" spans="1:11">
      <c r="A135" s="34"/>
      <c r="B135" s="4"/>
      <c r="C135" s="11"/>
      <c r="D135" s="25"/>
      <c r="E135" s="25"/>
      <c r="F135" s="25"/>
      <c r="G135" s="25"/>
      <c r="H135" s="25"/>
      <c r="I135" s="25"/>
      <c r="J135" s="11"/>
      <c r="K135" s="11"/>
    </row>
    <row r="136" spans="1:11">
      <c r="A136" s="34">
        <f>+A134+1</f>
        <v>15</v>
      </c>
      <c r="B136" s="13" t="s">
        <v>150</v>
      </c>
      <c r="C136" s="11"/>
      <c r="D136" s="25"/>
      <c r="E136" s="25"/>
      <c r="F136" s="25"/>
      <c r="G136" s="25"/>
      <c r="H136" s="25"/>
      <c r="I136" s="25"/>
      <c r="J136" s="11"/>
      <c r="K136" s="11"/>
    </row>
    <row r="137" spans="1:11">
      <c r="A137" s="34">
        <f t="shared" si="2"/>
        <v>16</v>
      </c>
      <c r="B137" s="13" t="s">
        <v>118</v>
      </c>
      <c r="C137" s="65" t="s">
        <v>151</v>
      </c>
      <c r="D137" s="25">
        <f>'5-P3 Support'!M24</f>
        <v>9821.3599999999988</v>
      </c>
      <c r="E137" s="25"/>
      <c r="F137" s="25" t="s">
        <v>25</v>
      </c>
      <c r="G137" s="25">
        <f>+G98</f>
        <v>1</v>
      </c>
      <c r="H137" s="25"/>
      <c r="I137" s="25">
        <f>+G137*D137</f>
        <v>9821.3599999999988</v>
      </c>
      <c r="J137" s="11"/>
      <c r="K137" s="62"/>
    </row>
    <row r="138" spans="1:11">
      <c r="A138" s="34">
        <f t="shared" si="2"/>
        <v>17</v>
      </c>
      <c r="B138" s="78" t="s">
        <v>55</v>
      </c>
      <c r="C138" s="65" t="s">
        <v>152</v>
      </c>
      <c r="D138" s="25">
        <f>'5-P3 Support'!C45</f>
        <v>0</v>
      </c>
      <c r="E138" s="25"/>
      <c r="F138" s="25" t="s">
        <v>57</v>
      </c>
      <c r="G138" s="25">
        <f>+G122</f>
        <v>1</v>
      </c>
      <c r="H138" s="25"/>
      <c r="I138" s="25">
        <f>+G138*D138</f>
        <v>0</v>
      </c>
      <c r="J138" s="11"/>
      <c r="K138" s="62"/>
    </row>
    <row r="139" spans="1:11">
      <c r="A139" s="34">
        <f t="shared" si="2"/>
        <v>18</v>
      </c>
      <c r="B139" s="13" t="s">
        <v>58</v>
      </c>
      <c r="C139" s="65" t="s">
        <v>153</v>
      </c>
      <c r="D139" s="57">
        <v>0</v>
      </c>
      <c r="E139" s="25"/>
      <c r="F139" s="25" t="s">
        <v>60</v>
      </c>
      <c r="G139" s="25">
        <f>+G128</f>
        <v>1</v>
      </c>
      <c r="H139" s="25"/>
      <c r="I139" s="25">
        <f>+G139*D139</f>
        <v>0</v>
      </c>
      <c r="J139" s="11"/>
      <c r="K139" s="62"/>
    </row>
    <row r="140" spans="1:11" ht="13.5" thickBot="1">
      <c r="A140" s="34">
        <f t="shared" si="2"/>
        <v>19</v>
      </c>
      <c r="B140" s="35" t="s">
        <v>154</v>
      </c>
      <c r="C140" s="11" t="s">
        <v>155</v>
      </c>
      <c r="D140" s="60">
        <f>'5-P3 Support'!D45</f>
        <v>0</v>
      </c>
      <c r="E140" s="25"/>
      <c r="F140" s="25" t="s">
        <v>38</v>
      </c>
      <c r="G140" s="75">
        <v>1</v>
      </c>
      <c r="H140" s="25"/>
      <c r="I140" s="60">
        <f>+G140*D140</f>
        <v>0</v>
      </c>
      <c r="J140" s="11"/>
      <c r="K140" s="62"/>
    </row>
    <row r="141" spans="1:11">
      <c r="A141" s="34">
        <f t="shared" si="2"/>
        <v>20</v>
      </c>
      <c r="B141" s="13" t="s">
        <v>156</v>
      </c>
      <c r="C141" s="11" t="s">
        <v>157</v>
      </c>
      <c r="D141" s="25">
        <f>SUM(D137:D140)</f>
        <v>9821.3599999999988</v>
      </c>
      <c r="E141" s="25"/>
      <c r="F141" s="25"/>
      <c r="G141" s="25"/>
      <c r="H141" s="25"/>
      <c r="I141" s="25">
        <f>SUM(I137:I140)</f>
        <v>9821.3599999999988</v>
      </c>
      <c r="J141" s="11"/>
      <c r="K141" s="11"/>
    </row>
    <row r="142" spans="1:11">
      <c r="A142" s="34"/>
      <c r="B142" s="13"/>
      <c r="C142" s="11"/>
      <c r="D142" s="25"/>
      <c r="E142" s="25"/>
      <c r="F142" s="25"/>
      <c r="G142" s="25"/>
      <c r="H142" s="25"/>
      <c r="I142" s="25"/>
      <c r="J142" s="11"/>
      <c r="K142" s="11"/>
    </row>
    <row r="143" spans="1:11">
      <c r="A143" s="34">
        <f>+A141+1</f>
        <v>21</v>
      </c>
      <c r="B143" s="13" t="s">
        <v>158</v>
      </c>
      <c r="C143" s="4" t="s">
        <v>159</v>
      </c>
      <c r="D143" s="25"/>
      <c r="E143" s="25"/>
      <c r="F143" s="25"/>
      <c r="G143" s="25"/>
      <c r="H143" s="25"/>
      <c r="I143" s="25"/>
      <c r="J143" s="11"/>
      <c r="K143" s="11"/>
    </row>
    <row r="144" spans="1:11">
      <c r="A144" s="34">
        <f t="shared" si="2"/>
        <v>22</v>
      </c>
      <c r="B144" s="13" t="s">
        <v>160</v>
      </c>
      <c r="C144" s="4"/>
      <c r="D144" s="25"/>
      <c r="E144" s="25"/>
      <c r="F144" s="25"/>
      <c r="G144" s="25"/>
      <c r="H144" s="25"/>
      <c r="I144" s="25"/>
      <c r="J144" s="11"/>
      <c r="K144" s="62"/>
    </row>
    <row r="145" spans="1:12">
      <c r="A145" s="34">
        <f t="shared" si="2"/>
        <v>23</v>
      </c>
      <c r="B145" s="13" t="s">
        <v>161</v>
      </c>
      <c r="C145" s="11" t="s">
        <v>162</v>
      </c>
      <c r="D145" s="25">
        <f>'5-P3 Support'!E45</f>
        <v>0</v>
      </c>
      <c r="E145" s="25"/>
      <c r="F145" s="25" t="s">
        <v>57</v>
      </c>
      <c r="G145" s="25">
        <f>+G138</f>
        <v>1</v>
      </c>
      <c r="H145" s="25"/>
      <c r="I145" s="25">
        <f>+G145*D145</f>
        <v>0</v>
      </c>
      <c r="J145" s="11"/>
      <c r="K145" s="62"/>
    </row>
    <row r="146" spans="1:12">
      <c r="A146" s="34">
        <f t="shared" si="2"/>
        <v>24</v>
      </c>
      <c r="B146" s="13" t="s">
        <v>163</v>
      </c>
      <c r="C146" s="11" t="s">
        <v>164</v>
      </c>
      <c r="D146" s="25">
        <f>'5-P3 Support'!F45</f>
        <v>0</v>
      </c>
      <c r="E146" s="25"/>
      <c r="F146" s="25" t="s">
        <v>57</v>
      </c>
      <c r="G146" s="25">
        <f>+G145</f>
        <v>1</v>
      </c>
      <c r="H146" s="25"/>
      <c r="I146" s="25">
        <f>+G146*D146</f>
        <v>0</v>
      </c>
      <c r="J146" s="11"/>
      <c r="K146" s="62"/>
    </row>
    <row r="147" spans="1:12">
      <c r="A147" s="34">
        <f t="shared" si="2"/>
        <v>25</v>
      </c>
      <c r="B147" s="13" t="s">
        <v>165</v>
      </c>
      <c r="C147" s="11" t="s">
        <v>11</v>
      </c>
      <c r="D147" s="25"/>
      <c r="E147" s="25"/>
      <c r="F147" s="25"/>
      <c r="G147" s="25"/>
      <c r="H147" s="25"/>
      <c r="I147" s="25"/>
      <c r="J147" s="11"/>
      <c r="K147" s="62"/>
    </row>
    <row r="148" spans="1:12">
      <c r="A148" s="34">
        <f t="shared" si="2"/>
        <v>26</v>
      </c>
      <c r="B148" s="13" t="s">
        <v>166</v>
      </c>
      <c r="C148" s="11" t="s">
        <v>167</v>
      </c>
      <c r="D148" s="25">
        <f>'5-P3 Support'!G45</f>
        <v>0</v>
      </c>
      <c r="E148" s="25"/>
      <c r="F148" s="25" t="s">
        <v>111</v>
      </c>
      <c r="G148" s="25">
        <f>+G68</f>
        <v>1</v>
      </c>
      <c r="H148" s="25"/>
      <c r="I148" s="25">
        <f>+G148*D148</f>
        <v>0</v>
      </c>
      <c r="J148" s="11"/>
      <c r="K148" s="62"/>
    </row>
    <row r="149" spans="1:12">
      <c r="A149" s="34">
        <f t="shared" si="2"/>
        <v>27</v>
      </c>
      <c r="B149" s="13" t="s">
        <v>168</v>
      </c>
      <c r="C149" s="11" t="s">
        <v>169</v>
      </c>
      <c r="D149" s="25">
        <f>'5-P3 Support'!H45</f>
        <v>0</v>
      </c>
      <c r="E149" s="25"/>
      <c r="F149" s="25" t="s">
        <v>50</v>
      </c>
      <c r="G149" s="70" t="s">
        <v>80</v>
      </c>
      <c r="H149" s="25"/>
      <c r="I149" s="25">
        <v>0</v>
      </c>
      <c r="J149" s="11"/>
      <c r="K149" s="62"/>
    </row>
    <row r="150" spans="1:12">
      <c r="A150" s="34">
        <f t="shared" si="2"/>
        <v>28</v>
      </c>
      <c r="B150" s="13" t="s">
        <v>170</v>
      </c>
      <c r="C150" s="11" t="s">
        <v>171</v>
      </c>
      <c r="D150" s="25">
        <f>'5-P3 Support'!I45</f>
        <v>0</v>
      </c>
      <c r="E150" s="25"/>
      <c r="F150" s="25" t="s">
        <v>111</v>
      </c>
      <c r="G150" s="25">
        <f>+G148</f>
        <v>1</v>
      </c>
      <c r="H150" s="25"/>
      <c r="I150" s="25">
        <f>+G150*D150</f>
        <v>0</v>
      </c>
      <c r="J150" s="11"/>
      <c r="K150" s="62"/>
    </row>
    <row r="151" spans="1:12" ht="13.5" thickBot="1">
      <c r="A151" s="34">
        <f t="shared" si="2"/>
        <v>29</v>
      </c>
      <c r="B151" s="13" t="s">
        <v>172</v>
      </c>
      <c r="C151" s="11" t="s">
        <v>173</v>
      </c>
      <c r="D151" s="60">
        <f>'5-P3 Support'!J45</f>
        <v>0</v>
      </c>
      <c r="E151" s="25"/>
      <c r="F151" s="25" t="s">
        <v>111</v>
      </c>
      <c r="G151" s="25">
        <f>+G148</f>
        <v>1</v>
      </c>
      <c r="H151" s="25"/>
      <c r="I151" s="60">
        <f>+G151*D151</f>
        <v>0</v>
      </c>
      <c r="J151" s="11"/>
      <c r="K151" s="62"/>
    </row>
    <row r="152" spans="1:12">
      <c r="A152" s="34">
        <f t="shared" si="2"/>
        <v>30</v>
      </c>
      <c r="B152" s="13" t="s">
        <v>174</v>
      </c>
      <c r="C152" s="11" t="s">
        <v>175</v>
      </c>
      <c r="D152" s="25">
        <f>SUM(D145:D151)</f>
        <v>0</v>
      </c>
      <c r="E152" s="25"/>
      <c r="F152" s="25"/>
      <c r="G152" s="25"/>
      <c r="H152" s="25"/>
      <c r="I152" s="25">
        <f>SUM(I145:I151)</f>
        <v>0</v>
      </c>
      <c r="J152" s="11"/>
      <c r="K152" s="11"/>
    </row>
    <row r="153" spans="1:12">
      <c r="A153" s="34"/>
      <c r="B153" s="13"/>
      <c r="C153" s="11"/>
      <c r="D153" s="11"/>
      <c r="E153" s="11"/>
      <c r="F153" s="11"/>
      <c r="G153" s="29"/>
      <c r="H153" s="11"/>
      <c r="I153" s="11"/>
      <c r="J153" s="11"/>
      <c r="L153" s="25"/>
    </row>
    <row r="154" spans="1:12">
      <c r="A154" s="34">
        <f>+A152+1</f>
        <v>31</v>
      </c>
      <c r="B154" s="13" t="s">
        <v>176</v>
      </c>
      <c r="C154" s="11" t="str">
        <f>"(Note "&amp;A$251&amp;")"</f>
        <v>(Note G)</v>
      </c>
      <c r="D154" s="11"/>
      <c r="E154" s="11"/>
      <c r="F154" s="4"/>
      <c r="G154" s="79"/>
      <c r="H154" s="11"/>
      <c r="I154" s="4"/>
      <c r="J154" s="11"/>
      <c r="L154" s="25"/>
    </row>
    <row r="155" spans="1:12">
      <c r="A155" s="34">
        <f t="shared" si="2"/>
        <v>32</v>
      </c>
      <c r="B155" s="80" t="s">
        <v>177</v>
      </c>
      <c r="C155" s="11" t="s">
        <v>178</v>
      </c>
      <c r="D155" s="81">
        <f>IF(D252&gt;0,1-(((1-D253)*(1-D252))/(1-D253*D252*D254)),0)</f>
        <v>0.251475</v>
      </c>
      <c r="E155" s="11"/>
      <c r="F155" s="4"/>
      <c r="G155" s="79"/>
      <c r="H155" s="11"/>
      <c r="I155" s="4"/>
      <c r="J155" s="11"/>
      <c r="L155" s="25"/>
    </row>
    <row r="156" spans="1:12">
      <c r="A156" s="34">
        <f t="shared" si="2"/>
        <v>33</v>
      </c>
      <c r="B156" s="4" t="s">
        <v>179</v>
      </c>
      <c r="C156" s="11" t="s">
        <v>180</v>
      </c>
      <c r="D156" s="81">
        <f>IF(I210&gt;0,(D155/(1-D155))*(1-I210/I213),0)</f>
        <v>0.2694444123734504</v>
      </c>
      <c r="E156" s="11"/>
      <c r="F156" s="4"/>
      <c r="G156" s="79"/>
      <c r="H156" s="11"/>
      <c r="I156" s="4"/>
      <c r="J156" s="11"/>
      <c r="K156" s="4"/>
    </row>
    <row r="157" spans="1:12">
      <c r="A157" s="34">
        <f t="shared" si="2"/>
        <v>34</v>
      </c>
      <c r="B157" s="13" t="s">
        <v>181</v>
      </c>
      <c r="C157" s="11" t="s">
        <v>182</v>
      </c>
      <c r="D157" s="11"/>
      <c r="E157" s="11"/>
      <c r="F157" s="4"/>
      <c r="G157" s="79"/>
      <c r="H157" s="11"/>
      <c r="I157" s="4"/>
      <c r="J157" s="11"/>
      <c r="K157" s="4"/>
    </row>
    <row r="158" spans="1:12">
      <c r="A158" s="34">
        <f t="shared" si="2"/>
        <v>35</v>
      </c>
      <c r="B158" s="13"/>
      <c r="D158" s="11"/>
      <c r="E158" s="11"/>
      <c r="F158" s="4"/>
      <c r="G158" s="79"/>
      <c r="H158" s="11"/>
      <c r="I158" s="4"/>
      <c r="J158" s="11"/>
      <c r="K158" s="4"/>
    </row>
    <row r="159" spans="1:12">
      <c r="A159" s="34">
        <f>+A158+1</f>
        <v>36</v>
      </c>
      <c r="B159" s="80" t="str">
        <f>"      1 / (1 - T)  =  (T from line "&amp;A155&amp;")"</f>
        <v xml:space="preserve">      1 / (1 - T)  =  (T from line 32)</v>
      </c>
      <c r="C159" s="11"/>
      <c r="D159" s="70">
        <f>IF(D132=0,0,1/(1-D155))</f>
        <v>0</v>
      </c>
      <c r="E159" s="11"/>
      <c r="F159" s="4"/>
      <c r="G159" s="79"/>
      <c r="H159" s="11"/>
      <c r="I159" s="25"/>
      <c r="J159" s="11"/>
      <c r="K159" s="4"/>
    </row>
    <row r="160" spans="1:12">
      <c r="A160" s="34">
        <f t="shared" si="2"/>
        <v>37</v>
      </c>
      <c r="B160" s="13" t="s">
        <v>183</v>
      </c>
      <c r="C160" s="11" t="s">
        <v>184</v>
      </c>
      <c r="D160" s="25">
        <f>-'5-P3 Support'!K45</f>
        <v>0</v>
      </c>
      <c r="E160" s="11"/>
      <c r="F160" s="4"/>
      <c r="G160" s="79"/>
      <c r="H160" s="11"/>
      <c r="I160" s="25"/>
      <c r="J160" s="11"/>
      <c r="K160" s="4"/>
    </row>
    <row r="161" spans="1:11">
      <c r="A161" s="34">
        <f t="shared" si="2"/>
        <v>38</v>
      </c>
      <c r="B161" s="13" t="s">
        <v>185</v>
      </c>
      <c r="C161" s="11" t="s">
        <v>186</v>
      </c>
      <c r="D161" s="25">
        <f>-'5-P3 Support'!L45</f>
        <v>0</v>
      </c>
      <c r="E161" s="11"/>
      <c r="F161" s="4"/>
      <c r="G161" s="25"/>
      <c r="H161" s="11"/>
      <c r="I161" s="25"/>
      <c r="J161" s="11"/>
      <c r="K161" s="4"/>
    </row>
    <row r="162" spans="1:11">
      <c r="A162" s="34">
        <f t="shared" si="2"/>
        <v>39</v>
      </c>
      <c r="B162" s="13" t="s">
        <v>187</v>
      </c>
      <c r="C162" s="11" t="s">
        <v>188</v>
      </c>
      <c r="D162" s="25">
        <f>+'5-P3 Support'!M45</f>
        <v>0</v>
      </c>
      <c r="E162" s="11"/>
      <c r="F162" s="4"/>
      <c r="G162" s="79"/>
      <c r="H162" s="11"/>
      <c r="I162" s="25"/>
      <c r="J162" s="11"/>
      <c r="K162" s="4"/>
    </row>
    <row r="163" spans="1:11">
      <c r="A163" s="34">
        <f t="shared" si="2"/>
        <v>40</v>
      </c>
      <c r="B163" s="80" t="s">
        <v>189</v>
      </c>
      <c r="C163" s="82" t="s">
        <v>190</v>
      </c>
      <c r="D163" s="70">
        <f>+D156*D170</f>
        <v>1119.7299270017086</v>
      </c>
      <c r="E163" s="23"/>
      <c r="F163" s="23" t="s">
        <v>50</v>
      </c>
      <c r="G163" s="28"/>
      <c r="H163" s="23"/>
      <c r="I163" s="70">
        <f>+D156*I170</f>
        <v>1119.7299270017086</v>
      </c>
      <c r="J163" s="11"/>
      <c r="K163" s="24" t="s">
        <v>11</v>
      </c>
    </row>
    <row r="164" spans="1:11">
      <c r="A164" s="34">
        <f t="shared" si="2"/>
        <v>41</v>
      </c>
      <c r="B164" s="4" t="s">
        <v>191</v>
      </c>
      <c r="C164" s="82" t="s">
        <v>192</v>
      </c>
      <c r="D164" s="70">
        <f>+D$159*D160</f>
        <v>0</v>
      </c>
      <c r="E164" s="23"/>
      <c r="F164" s="1" t="s">
        <v>83</v>
      </c>
      <c r="G164" s="22">
        <f>G84</f>
        <v>1</v>
      </c>
      <c r="H164" s="23"/>
      <c r="I164" s="70">
        <f>+G164*D164</f>
        <v>0</v>
      </c>
      <c r="J164" s="11"/>
      <c r="K164" s="24"/>
    </row>
    <row r="165" spans="1:11">
      <c r="A165" s="34">
        <f t="shared" si="2"/>
        <v>42</v>
      </c>
      <c r="B165" s="4" t="s">
        <v>193</v>
      </c>
      <c r="C165" s="82" t="s">
        <v>194</v>
      </c>
      <c r="D165" s="70">
        <f>+D$159*D161</f>
        <v>0</v>
      </c>
      <c r="E165" s="23"/>
      <c r="F165" s="1" t="s">
        <v>83</v>
      </c>
      <c r="G165" s="22">
        <f>G164</f>
        <v>1</v>
      </c>
      <c r="H165" s="23"/>
      <c r="I165" s="70">
        <f>+G165*D165</f>
        <v>0</v>
      </c>
      <c r="J165" s="11"/>
      <c r="K165" s="24"/>
    </row>
    <row r="166" spans="1:11" ht="13.5" thickBot="1">
      <c r="A166" s="34">
        <f t="shared" si="2"/>
        <v>43</v>
      </c>
      <c r="B166" s="4" t="s">
        <v>195</v>
      </c>
      <c r="C166" s="82" t="s">
        <v>196</v>
      </c>
      <c r="D166" s="83">
        <f>+D$159*D162</f>
        <v>0</v>
      </c>
      <c r="E166" s="23"/>
      <c r="F166" s="1" t="s">
        <v>83</v>
      </c>
      <c r="G166" s="22">
        <f>G165</f>
        <v>1</v>
      </c>
      <c r="H166" s="23"/>
      <c r="I166" s="83">
        <f>+G166*D166</f>
        <v>0</v>
      </c>
      <c r="J166" s="11"/>
      <c r="K166" s="24"/>
    </row>
    <row r="167" spans="1:11">
      <c r="A167" s="34">
        <f t="shared" si="2"/>
        <v>44</v>
      </c>
      <c r="B167" s="84" t="s">
        <v>197</v>
      </c>
      <c r="C167" s="4" t="s">
        <v>198</v>
      </c>
      <c r="D167" s="70">
        <f>SUM(D163:D166)</f>
        <v>1119.7299270017086</v>
      </c>
      <c r="E167" s="23"/>
      <c r="F167" s="23" t="s">
        <v>11</v>
      </c>
      <c r="G167" s="28" t="s">
        <v>11</v>
      </c>
      <c r="H167" s="23"/>
      <c r="I167" s="70">
        <f>SUM(I163:I166)</f>
        <v>1119.7299270017086</v>
      </c>
      <c r="J167" s="11"/>
      <c r="K167" s="11"/>
    </row>
    <row r="168" spans="1:11">
      <c r="A168" s="34"/>
      <c r="B168" s="4"/>
      <c r="C168" s="85"/>
      <c r="D168" s="25"/>
      <c r="E168" s="11"/>
      <c r="F168" s="11"/>
      <c r="G168" s="29"/>
      <c r="H168" s="11"/>
      <c r="I168" s="25"/>
      <c r="J168" s="11"/>
      <c r="K168" s="11"/>
    </row>
    <row r="169" spans="1:11">
      <c r="A169" s="34">
        <f>+A167+1</f>
        <v>45</v>
      </c>
      <c r="B169" s="13" t="s">
        <v>199</v>
      </c>
      <c r="J169" s="11"/>
      <c r="K169" s="4"/>
    </row>
    <row r="170" spans="1:11">
      <c r="A170" s="34">
        <f>A169+1</f>
        <v>46</v>
      </c>
      <c r="B170" s="84" t="s">
        <v>200</v>
      </c>
      <c r="C170" s="80" t="s">
        <v>201</v>
      </c>
      <c r="D170" s="25">
        <f>+$I213*D106</f>
        <v>4155.6991927884592</v>
      </c>
      <c r="E170" s="23"/>
      <c r="F170" s="23" t="s">
        <v>50</v>
      </c>
      <c r="G170" s="86"/>
      <c r="H170" s="23"/>
      <c r="I170" s="25">
        <f>+$I213*I106</f>
        <v>4155.6991927884592</v>
      </c>
      <c r="K170" s="62"/>
    </row>
    <row r="171" spans="1:11">
      <c r="A171" s="34"/>
      <c r="B171" s="13"/>
      <c r="C171" s="4"/>
      <c r="D171" s="25"/>
      <c r="E171" s="23"/>
      <c r="F171" s="23"/>
      <c r="G171" s="86"/>
      <c r="H171" s="23"/>
      <c r="I171" s="25"/>
      <c r="J171" s="11"/>
      <c r="K171" s="62"/>
    </row>
    <row r="172" spans="1:11" ht="13.5" thickBot="1">
      <c r="A172" s="34">
        <f>A170+1</f>
        <v>47</v>
      </c>
      <c r="B172" s="13" t="s">
        <v>202</v>
      </c>
      <c r="C172" s="11" t="s">
        <v>203</v>
      </c>
      <c r="D172" s="87">
        <f>+D170+D167+D152+D141+D134</f>
        <v>285167.3591197902</v>
      </c>
      <c r="E172" s="23"/>
      <c r="F172" s="23"/>
      <c r="G172" s="23"/>
      <c r="H172" s="23"/>
      <c r="I172" s="87">
        <f>+I170+I167+I152+I141+I134</f>
        <v>285167.3591197902</v>
      </c>
      <c r="J172" s="13"/>
      <c r="K172" s="13"/>
    </row>
    <row r="173" spans="1:11" ht="13.5" thickTop="1">
      <c r="A173" s="34"/>
      <c r="B173" s="13"/>
      <c r="C173" s="11"/>
      <c r="D173" s="23"/>
      <c r="E173" s="23"/>
      <c r="F173" s="23"/>
      <c r="G173" s="23"/>
      <c r="H173" s="23"/>
      <c r="I173" s="25"/>
      <c r="J173" s="13"/>
      <c r="K173" s="13"/>
    </row>
    <row r="174" spans="1:11">
      <c r="A174" s="34"/>
      <c r="B174" s="1"/>
      <c r="C174" s="23"/>
      <c r="D174" s="23"/>
      <c r="E174" s="23"/>
      <c r="F174" s="23"/>
      <c r="G174" s="23"/>
      <c r="H174" s="23"/>
      <c r="I174" s="23"/>
      <c r="J174" s="13"/>
      <c r="K174" s="13"/>
    </row>
    <row r="175" spans="1:11">
      <c r="A175" s="7"/>
      <c r="B175" s="4"/>
      <c r="C175" s="4"/>
      <c r="D175" s="4"/>
      <c r="E175" s="4"/>
      <c r="F175" s="4"/>
      <c r="G175" s="4"/>
      <c r="H175" s="4"/>
      <c r="I175" s="4"/>
      <c r="J175" s="11"/>
      <c r="K175" s="68" t="s">
        <v>204</v>
      </c>
    </row>
    <row r="176" spans="1:11">
      <c r="A176" s="7"/>
      <c r="B176" s="4"/>
      <c r="C176" s="4"/>
      <c r="D176" s="4"/>
      <c r="E176" s="4"/>
      <c r="F176" s="4"/>
      <c r="G176" s="4"/>
      <c r="H176" s="4"/>
      <c r="I176" s="4"/>
      <c r="J176" s="11"/>
      <c r="K176" s="11"/>
    </row>
    <row r="177" spans="1:11">
      <c r="A177" s="7"/>
      <c r="B177" s="13" t="s">
        <v>2</v>
      </c>
      <c r="C177" s="4"/>
      <c r="D177" s="43" t="s">
        <v>4</v>
      </c>
      <c r="E177" s="4"/>
      <c r="F177" s="4"/>
      <c r="G177" s="4"/>
      <c r="H177" s="4"/>
      <c r="I177" s="1"/>
      <c r="J177" s="11"/>
      <c r="K177" s="88" t="str">
        <f>K3</f>
        <v>For  the 12 months ended 12/31/2020</v>
      </c>
    </row>
    <row r="178" spans="1:11">
      <c r="A178" s="7"/>
      <c r="B178" s="13"/>
      <c r="C178" s="4"/>
      <c r="D178" s="43" t="s">
        <v>6</v>
      </c>
      <c r="E178" s="4"/>
      <c r="F178" s="4"/>
      <c r="G178" s="4"/>
      <c r="H178" s="4"/>
      <c r="I178" s="4"/>
      <c r="J178" s="11"/>
      <c r="K178" s="11"/>
    </row>
    <row r="179" spans="1:11">
      <c r="A179" s="7"/>
      <c r="B179" s="4"/>
      <c r="C179" s="4"/>
      <c r="D179" s="50" t="str">
        <f>D5</f>
        <v>NextEra Energy Transmission MidAtlantic Indiana, Inc.</v>
      </c>
      <c r="E179" s="4"/>
      <c r="F179" s="4"/>
      <c r="G179" s="4"/>
      <c r="H179" s="4"/>
      <c r="I179" s="4"/>
      <c r="J179" s="11"/>
      <c r="K179" s="11"/>
    </row>
    <row r="180" spans="1:11">
      <c r="A180" s="69"/>
      <c r="B180" s="69"/>
      <c r="C180" s="69"/>
      <c r="D180" s="69"/>
      <c r="E180" s="69"/>
      <c r="F180" s="69"/>
      <c r="G180" s="69"/>
      <c r="H180" s="69"/>
      <c r="I180" s="69"/>
      <c r="J180" s="69"/>
      <c r="K180" s="69"/>
    </row>
    <row r="181" spans="1:11" s="72" customFormat="1">
      <c r="A181" s="89"/>
      <c r="B181" s="18" t="s">
        <v>8</v>
      </c>
      <c r="C181" s="18" t="s">
        <v>9</v>
      </c>
      <c r="D181" s="18" t="s">
        <v>10</v>
      </c>
      <c r="E181" s="11" t="s">
        <v>11</v>
      </c>
      <c r="F181" s="11"/>
      <c r="G181" s="17" t="s">
        <v>12</v>
      </c>
      <c r="H181" s="11"/>
      <c r="I181" s="17" t="s">
        <v>13</v>
      </c>
      <c r="J181" s="71"/>
      <c r="K181" s="71"/>
    </row>
    <row r="182" spans="1:11">
      <c r="A182" s="7"/>
      <c r="B182" s="4"/>
      <c r="C182" s="13"/>
      <c r="D182" s="13"/>
      <c r="E182" s="13"/>
      <c r="F182" s="13"/>
      <c r="G182" s="13"/>
      <c r="H182" s="13"/>
      <c r="I182" s="13"/>
      <c r="J182" s="13"/>
      <c r="K182" s="13"/>
    </row>
    <row r="183" spans="1:11">
      <c r="A183" s="7"/>
      <c r="B183" s="4"/>
      <c r="C183" s="56" t="s">
        <v>205</v>
      </c>
      <c r="D183" s="4"/>
      <c r="E183" s="13"/>
      <c r="F183" s="13"/>
      <c r="G183" s="13"/>
      <c r="H183" s="13"/>
      <c r="I183" s="13"/>
      <c r="J183" s="11"/>
      <c r="K183" s="11"/>
    </row>
    <row r="184" spans="1:11">
      <c r="A184" s="7" t="s">
        <v>14</v>
      </c>
      <c r="B184" s="56"/>
      <c r="C184" s="13"/>
      <c r="D184" s="13"/>
      <c r="E184" s="13"/>
      <c r="F184" s="13"/>
      <c r="G184" s="13"/>
      <c r="H184" s="13"/>
      <c r="I184" s="13"/>
      <c r="J184" s="11"/>
      <c r="K184" s="11"/>
    </row>
    <row r="185" spans="1:11" ht="13.5" thickBot="1">
      <c r="A185" s="19" t="s">
        <v>16</v>
      </c>
      <c r="B185" s="5" t="s">
        <v>206</v>
      </c>
      <c r="C185" s="13"/>
      <c r="D185" s="13"/>
      <c r="E185" s="13"/>
      <c r="F185" s="13"/>
      <c r="G185" s="13"/>
      <c r="H185" s="4"/>
      <c r="I185" s="4"/>
      <c r="J185" s="11"/>
      <c r="K185" s="11"/>
    </row>
    <row r="186" spans="1:11">
      <c r="A186" s="7">
        <v>1</v>
      </c>
      <c r="B186" s="5" t="s">
        <v>207</v>
      </c>
      <c r="C186" s="13" t="s">
        <v>208</v>
      </c>
      <c r="D186" s="11"/>
      <c r="E186" s="11"/>
      <c r="F186" s="11"/>
      <c r="G186" s="11"/>
      <c r="H186" s="11"/>
      <c r="I186" s="25">
        <f>D64</f>
        <v>382487.92</v>
      </c>
      <c r="J186" s="11"/>
      <c r="K186" s="11"/>
    </row>
    <row r="187" spans="1:11">
      <c r="A187" s="7">
        <f>+A186+1</f>
        <v>2</v>
      </c>
      <c r="B187" s="5" t="s">
        <v>209</v>
      </c>
      <c r="C187" s="4" t="s">
        <v>210</v>
      </c>
      <c r="D187" s="4"/>
      <c r="E187" s="4"/>
      <c r="F187" s="4"/>
      <c r="G187" s="4"/>
      <c r="H187" s="4"/>
      <c r="I187" s="57">
        <v>0</v>
      </c>
      <c r="J187" s="11"/>
      <c r="K187" s="11"/>
    </row>
    <row r="188" spans="1:11" ht="13.5" thickBot="1">
      <c r="A188" s="7">
        <f>+A187+1</f>
        <v>3</v>
      </c>
      <c r="B188" s="90" t="s">
        <v>211</v>
      </c>
      <c r="C188" s="91" t="s">
        <v>212</v>
      </c>
      <c r="D188" s="1"/>
      <c r="E188" s="11"/>
      <c r="F188" s="11"/>
      <c r="G188" s="12"/>
      <c r="H188" s="11"/>
      <c r="I188" s="59">
        <v>0</v>
      </c>
      <c r="J188" s="11"/>
      <c r="K188" s="11"/>
    </row>
    <row r="189" spans="1:11">
      <c r="A189" s="7">
        <f t="shared" ref="A189:A220" si="3">+A188+1</f>
        <v>4</v>
      </c>
      <c r="B189" s="5" t="s">
        <v>213</v>
      </c>
      <c r="C189" s="13" t="s">
        <v>214</v>
      </c>
      <c r="D189" s="11"/>
      <c r="E189" s="11"/>
      <c r="F189" s="11"/>
      <c r="G189" s="12"/>
      <c r="H189" s="11"/>
      <c r="I189" s="25">
        <f>I186-I187-I188</f>
        <v>382487.92</v>
      </c>
      <c r="J189" s="11"/>
      <c r="K189" s="11"/>
    </row>
    <row r="190" spans="1:11">
      <c r="A190" s="7"/>
      <c r="B190" s="4"/>
      <c r="C190" s="13"/>
      <c r="D190" s="11"/>
      <c r="E190" s="11"/>
      <c r="F190" s="11"/>
      <c r="G190" s="12"/>
      <c r="H190" s="11"/>
      <c r="I190" s="25"/>
      <c r="J190" s="11"/>
      <c r="K190" s="11"/>
    </row>
    <row r="191" spans="1:11">
      <c r="A191" s="7">
        <f>+A189+1</f>
        <v>5</v>
      </c>
      <c r="B191" s="5" t="s">
        <v>215</v>
      </c>
      <c r="C191" s="16" t="s">
        <v>216</v>
      </c>
      <c r="D191" s="16"/>
      <c r="E191" s="16"/>
      <c r="F191" s="16"/>
      <c r="G191" s="17"/>
      <c r="H191" s="11" t="s">
        <v>217</v>
      </c>
      <c r="I191" s="92">
        <f>IF(I186&gt;0,I189/I186,0)</f>
        <v>1</v>
      </c>
      <c r="J191" s="11"/>
      <c r="K191" s="11"/>
    </row>
    <row r="192" spans="1:11">
      <c r="A192" s="7"/>
      <c r="B192" s="4"/>
      <c r="C192" s="4"/>
      <c r="D192" s="4"/>
      <c r="E192" s="4"/>
      <c r="F192" s="4"/>
      <c r="G192" s="4"/>
      <c r="H192" s="4"/>
      <c r="I192" s="4"/>
      <c r="J192" s="4"/>
      <c r="K192" s="4"/>
    </row>
    <row r="193" spans="1:11">
      <c r="A193" s="7">
        <f>+A191+1</f>
        <v>6</v>
      </c>
      <c r="B193" s="13" t="s">
        <v>218</v>
      </c>
      <c r="C193" s="11"/>
      <c r="D193" s="11"/>
      <c r="E193" s="11"/>
      <c r="F193" s="11"/>
      <c r="G193" s="11"/>
      <c r="H193" s="11"/>
      <c r="I193" s="11"/>
      <c r="J193" s="11"/>
      <c r="K193" s="11"/>
    </row>
    <row r="194" spans="1:11" ht="13.5" thickBot="1">
      <c r="A194" s="7"/>
      <c r="B194" s="13"/>
      <c r="C194" s="93" t="s">
        <v>219</v>
      </c>
      <c r="D194" s="94" t="s">
        <v>220</v>
      </c>
      <c r="E194" s="94" t="s">
        <v>25</v>
      </c>
      <c r="F194" s="11"/>
      <c r="G194" s="94" t="s">
        <v>221</v>
      </c>
      <c r="H194" s="11"/>
      <c r="I194" s="11"/>
      <c r="J194" s="11"/>
      <c r="K194" s="11"/>
    </row>
    <row r="195" spans="1:11">
      <c r="A195" s="7">
        <f>+A193+1</f>
        <v>7</v>
      </c>
      <c r="B195" s="13" t="s">
        <v>48</v>
      </c>
      <c r="C195" s="11" t="s">
        <v>222</v>
      </c>
      <c r="D195" s="57">
        <v>0</v>
      </c>
      <c r="E195" s="22">
        <v>1</v>
      </c>
      <c r="F195" s="95"/>
      <c r="G195" s="25">
        <f>D195*E195</f>
        <v>0</v>
      </c>
      <c r="H195" s="23"/>
      <c r="I195" s="23"/>
      <c r="J195" s="11"/>
      <c r="K195" s="11"/>
    </row>
    <row r="196" spans="1:11">
      <c r="A196" s="7">
        <f t="shared" si="3"/>
        <v>8</v>
      </c>
      <c r="B196" s="13" t="s">
        <v>51</v>
      </c>
      <c r="C196" s="11" t="s">
        <v>223</v>
      </c>
      <c r="D196" s="57">
        <v>0</v>
      </c>
      <c r="E196" s="22">
        <f>+I191</f>
        <v>1</v>
      </c>
      <c r="F196" s="95"/>
      <c r="G196" s="25">
        <f>D196*E196</f>
        <v>0</v>
      </c>
      <c r="H196" s="23"/>
      <c r="I196" s="23"/>
      <c r="J196" s="11"/>
      <c r="K196" s="11"/>
    </row>
    <row r="197" spans="1:11">
      <c r="A197" s="7">
        <f t="shared" si="3"/>
        <v>9</v>
      </c>
      <c r="B197" s="13" t="s">
        <v>53</v>
      </c>
      <c r="C197" s="11" t="s">
        <v>224</v>
      </c>
      <c r="D197" s="57">
        <v>0</v>
      </c>
      <c r="E197" s="22">
        <v>1</v>
      </c>
      <c r="F197" s="95"/>
      <c r="G197" s="25">
        <f>D197*E197</f>
        <v>0</v>
      </c>
      <c r="H197" s="23"/>
      <c r="I197" s="96" t="s">
        <v>225</v>
      </c>
      <c r="J197" s="11"/>
      <c r="K197" s="11"/>
    </row>
    <row r="198" spans="1:11" ht="13.5" thickBot="1">
      <c r="A198" s="7">
        <f t="shared" si="3"/>
        <v>10</v>
      </c>
      <c r="B198" s="13" t="s">
        <v>226</v>
      </c>
      <c r="C198" s="11" t="s">
        <v>227</v>
      </c>
      <c r="D198" s="59">
        <v>0</v>
      </c>
      <c r="E198" s="22">
        <v>1</v>
      </c>
      <c r="F198" s="95"/>
      <c r="G198" s="60">
        <f>D198*E198</f>
        <v>0</v>
      </c>
      <c r="H198" s="23"/>
      <c r="I198" s="97" t="s">
        <v>228</v>
      </c>
      <c r="J198" s="11"/>
      <c r="K198" s="11"/>
    </row>
    <row r="199" spans="1:11">
      <c r="A199" s="7">
        <f t="shared" si="3"/>
        <v>11</v>
      </c>
      <c r="B199" s="13" t="s">
        <v>229</v>
      </c>
      <c r="C199" s="11" t="s">
        <v>230</v>
      </c>
      <c r="D199" s="25">
        <f>SUM(D195:D198)</f>
        <v>0</v>
      </c>
      <c r="E199" s="11"/>
      <c r="F199" s="11"/>
      <c r="G199" s="25">
        <f>SUM(G195:G198)</f>
        <v>0</v>
      </c>
      <c r="H199" s="98" t="s">
        <v>231</v>
      </c>
      <c r="I199" s="64">
        <v>1</v>
      </c>
      <c r="J199" s="12" t="s">
        <v>231</v>
      </c>
      <c r="K199" s="11" t="s">
        <v>232</v>
      </c>
    </row>
    <row r="200" spans="1:11">
      <c r="A200" s="7"/>
      <c r="B200" s="13" t="s">
        <v>11</v>
      </c>
      <c r="C200" s="11" t="s">
        <v>11</v>
      </c>
      <c r="D200" s="4"/>
      <c r="E200" s="11"/>
      <c r="F200" s="11"/>
      <c r="G200" s="4"/>
      <c r="H200" s="4"/>
      <c r="I200" s="4"/>
      <c r="J200" s="4"/>
      <c r="K200" s="11"/>
    </row>
    <row r="201" spans="1:11">
      <c r="A201" s="7">
        <f>+A199+1</f>
        <v>12</v>
      </c>
      <c r="B201" s="13" t="s">
        <v>233</v>
      </c>
      <c r="C201" s="11"/>
      <c r="D201" s="52" t="s">
        <v>220</v>
      </c>
      <c r="E201" s="11"/>
      <c r="F201" s="11"/>
      <c r="G201" s="12" t="s">
        <v>234</v>
      </c>
      <c r="H201" s="79"/>
      <c r="I201" s="62" t="s">
        <v>225</v>
      </c>
      <c r="J201" s="11"/>
      <c r="K201" s="11"/>
    </row>
    <row r="202" spans="1:11">
      <c r="A202" s="7">
        <f t="shared" si="3"/>
        <v>13</v>
      </c>
      <c r="B202" s="13" t="s">
        <v>235</v>
      </c>
      <c r="C202" s="11" t="s">
        <v>236</v>
      </c>
      <c r="D202" s="57">
        <f>+D80</f>
        <v>21572.844615384587</v>
      </c>
      <c r="E202" s="11"/>
      <c r="F202" s="4"/>
      <c r="G202" s="7" t="s">
        <v>237</v>
      </c>
      <c r="H202" s="99"/>
      <c r="I202" s="7" t="s">
        <v>238</v>
      </c>
      <c r="J202" s="11"/>
      <c r="K202" s="18" t="s">
        <v>60</v>
      </c>
    </row>
    <row r="203" spans="1:11">
      <c r="A203" s="7">
        <f t="shared" si="3"/>
        <v>14</v>
      </c>
      <c r="B203" s="13" t="s">
        <v>239</v>
      </c>
      <c r="C203" s="11" t="s">
        <v>240</v>
      </c>
      <c r="D203" s="57">
        <v>0</v>
      </c>
      <c r="E203" s="11"/>
      <c r="F203" s="4"/>
      <c r="G203" s="64">
        <f>IF(D205&gt;0,D202/D205,0)</f>
        <v>1</v>
      </c>
      <c r="H203" s="100" t="s">
        <v>241</v>
      </c>
      <c r="I203" s="64">
        <f>I199</f>
        <v>1</v>
      </c>
      <c r="J203" s="100" t="s">
        <v>231</v>
      </c>
      <c r="K203" s="64">
        <f>I203*G203</f>
        <v>1</v>
      </c>
    </row>
    <row r="204" spans="1:11" ht="13.5" thickBot="1">
      <c r="A204" s="7">
        <f t="shared" si="3"/>
        <v>15</v>
      </c>
      <c r="B204" s="91" t="s">
        <v>242</v>
      </c>
      <c r="C204" s="93" t="s">
        <v>243</v>
      </c>
      <c r="D204" s="59">
        <v>0</v>
      </c>
      <c r="E204" s="11"/>
      <c r="F204" s="11"/>
      <c r="G204" s="11" t="s">
        <v>11</v>
      </c>
      <c r="H204" s="11"/>
      <c r="I204" s="11"/>
      <c r="J204" s="11"/>
      <c r="K204" s="11"/>
    </row>
    <row r="205" spans="1:11">
      <c r="A205" s="7">
        <f t="shared" si="3"/>
        <v>16</v>
      </c>
      <c r="B205" s="13" t="s">
        <v>244</v>
      </c>
      <c r="C205" s="11" t="s">
        <v>245</v>
      </c>
      <c r="D205" s="25">
        <f>D202+D203+D204</f>
        <v>21572.844615384587</v>
      </c>
      <c r="E205" s="11"/>
      <c r="F205" s="11"/>
      <c r="G205" s="11"/>
      <c r="H205" s="11"/>
      <c r="I205" s="11"/>
      <c r="J205" s="11"/>
      <c r="K205" s="11"/>
    </row>
    <row r="206" spans="1:11">
      <c r="A206" s="7"/>
      <c r="B206" s="13"/>
      <c r="C206" s="11"/>
      <c r="D206" s="4"/>
      <c r="E206" s="11"/>
      <c r="F206" s="11"/>
      <c r="G206" s="11"/>
      <c r="H206" s="11"/>
      <c r="I206" s="11"/>
      <c r="J206" s="11"/>
      <c r="K206" s="11"/>
    </row>
    <row r="207" spans="1:11" ht="13.5" thickBot="1">
      <c r="A207" s="7">
        <f>+A205+1</f>
        <v>17</v>
      </c>
      <c r="B207" s="5" t="s">
        <v>246</v>
      </c>
      <c r="C207" s="11" t="s">
        <v>247</v>
      </c>
      <c r="D207" s="11"/>
      <c r="E207" s="11"/>
      <c r="F207" s="11"/>
      <c r="G207" s="11"/>
      <c r="H207" s="11"/>
      <c r="I207" s="94" t="s">
        <v>220</v>
      </c>
      <c r="J207" s="11"/>
      <c r="K207" s="11"/>
    </row>
    <row r="208" spans="1:11">
      <c r="A208" s="7">
        <f>+A207+1</f>
        <v>18</v>
      </c>
      <c r="B208" s="13"/>
      <c r="C208" s="11"/>
      <c r="D208" s="11"/>
      <c r="E208" s="11"/>
      <c r="F208" s="11"/>
      <c r="G208" s="12" t="s">
        <v>248</v>
      </c>
      <c r="H208" s="11"/>
      <c r="I208" s="11"/>
      <c r="J208" s="11"/>
      <c r="K208" s="11"/>
    </row>
    <row r="209" spans="1:11" ht="13.5" thickBot="1">
      <c r="A209" s="7">
        <f t="shared" si="3"/>
        <v>19</v>
      </c>
      <c r="B209" s="13"/>
      <c r="C209" s="11"/>
      <c r="D209" s="19" t="s">
        <v>220</v>
      </c>
      <c r="E209" s="19" t="s">
        <v>249</v>
      </c>
      <c r="F209" s="11"/>
      <c r="G209" s="43" t="str">
        <f>"(Notes "&amp;A259&amp;", "&amp;A265&amp;", &amp; "&amp;A266&amp;")"</f>
        <v>(Notes K, Q, &amp; R)</v>
      </c>
      <c r="H209" s="11"/>
      <c r="I209" s="19" t="s">
        <v>250</v>
      </c>
      <c r="J209" s="11"/>
      <c r="K209" s="11"/>
    </row>
    <row r="210" spans="1:11">
      <c r="A210" s="7">
        <f t="shared" si="3"/>
        <v>20</v>
      </c>
      <c r="B210" s="5" t="s">
        <v>251</v>
      </c>
      <c r="C210" s="4" t="s">
        <v>252</v>
      </c>
      <c r="D210" s="101">
        <f>'5-P3 Support'!F85</f>
        <v>1932865.932</v>
      </c>
      <c r="E210" s="61">
        <f>+'5-P3 Support'!G85</f>
        <v>0.4</v>
      </c>
      <c r="F210" s="22"/>
      <c r="G210" s="81">
        <f>+'5-P3 Support'!I85</f>
        <v>3.7400000000000003E-2</v>
      </c>
      <c r="H210" s="102"/>
      <c r="I210" s="61">
        <f>+'5-P3 Support'!K85</f>
        <v>1.4960000000000001E-2</v>
      </c>
      <c r="J210" s="103" t="s">
        <v>253</v>
      </c>
      <c r="K210" s="4"/>
    </row>
    <row r="211" spans="1:11">
      <c r="A211" s="7">
        <f t="shared" si="3"/>
        <v>21</v>
      </c>
      <c r="B211" s="5" t="s">
        <v>254</v>
      </c>
      <c r="C211" s="4" t="s">
        <v>255</v>
      </c>
      <c r="D211" s="101">
        <f>+'5-P3 Support'!F86</f>
        <v>0</v>
      </c>
      <c r="E211" s="61">
        <f>+'5-P3 Support'!G86</f>
        <v>0</v>
      </c>
      <c r="F211" s="22"/>
      <c r="G211" s="81">
        <f>+'5-P3 Support'!I86</f>
        <v>0</v>
      </c>
      <c r="H211" s="102"/>
      <c r="I211" s="61">
        <f>+'5-P3 Support'!K86</f>
        <v>0</v>
      </c>
      <c r="J211" s="11"/>
      <c r="K211" s="4"/>
    </row>
    <row r="212" spans="1:11" ht="13.5" thickBot="1">
      <c r="A212" s="7">
        <f t="shared" si="3"/>
        <v>22</v>
      </c>
      <c r="B212" s="5" t="s">
        <v>256</v>
      </c>
      <c r="C212" s="4" t="s">
        <v>257</v>
      </c>
      <c r="D212" s="104">
        <f>+'5-P3 Support'!F87</f>
        <v>2899298.898</v>
      </c>
      <c r="E212" s="105">
        <f>+'5-P3 Support'!G87</f>
        <v>0.6</v>
      </c>
      <c r="F212" s="47"/>
      <c r="G212" s="106">
        <f>+'5-P3 Support'!I87</f>
        <v>0.10100000000000001</v>
      </c>
      <c r="H212" s="102"/>
      <c r="I212" s="105">
        <f>+'5-P3 Support'!K87</f>
        <v>6.0600000000000001E-2</v>
      </c>
      <c r="J212" s="11"/>
      <c r="K212" s="4"/>
    </row>
    <row r="213" spans="1:11">
      <c r="A213" s="7">
        <f t="shared" si="3"/>
        <v>23</v>
      </c>
      <c r="B213" s="13" t="s">
        <v>258</v>
      </c>
      <c r="C213" s="4" t="s">
        <v>259</v>
      </c>
      <c r="D213" s="101">
        <f>+'5-P3 Support'!F88</f>
        <v>4832164.83</v>
      </c>
      <c r="E213" s="11" t="s">
        <v>11</v>
      </c>
      <c r="F213" s="11"/>
      <c r="G213" s="102"/>
      <c r="H213" s="102"/>
      <c r="I213" s="61">
        <f>+'5-P3 Support'!K88</f>
        <v>7.5560000000000002E-2</v>
      </c>
      <c r="J213" s="103" t="s">
        <v>260</v>
      </c>
      <c r="K213" s="4"/>
    </row>
    <row r="214" spans="1:11">
      <c r="A214" s="7"/>
      <c r="B214" s="4"/>
      <c r="C214" s="4"/>
      <c r="D214" s="4"/>
      <c r="E214" s="11"/>
      <c r="F214" s="11"/>
      <c r="G214" s="11"/>
      <c r="H214" s="11"/>
      <c r="I214" s="102"/>
      <c r="J214" s="4"/>
      <c r="K214" s="4"/>
    </row>
    <row r="215" spans="1:11">
      <c r="A215" s="7">
        <f>+A213+1</f>
        <v>24</v>
      </c>
      <c r="B215" s="5" t="s">
        <v>261</v>
      </c>
      <c r="C215" s="5"/>
      <c r="D215" s="5"/>
      <c r="E215" s="5"/>
      <c r="F215" s="5"/>
      <c r="G215" s="5"/>
      <c r="H215" s="5"/>
      <c r="I215" s="5"/>
      <c r="J215" s="5"/>
      <c r="K215" s="5"/>
    </row>
    <row r="216" spans="1:11" ht="13.5" thickBot="1">
      <c r="A216" s="7"/>
      <c r="B216" s="5"/>
      <c r="C216" s="5"/>
      <c r="D216" s="5"/>
      <c r="E216" s="5"/>
      <c r="F216" s="5"/>
      <c r="G216" s="5"/>
      <c r="H216" s="5"/>
      <c r="I216" s="19"/>
      <c r="J216" s="7"/>
      <c r="K216" s="4"/>
    </row>
    <row r="217" spans="1:11">
      <c r="A217" s="7">
        <f>+A215+1</f>
        <v>25</v>
      </c>
      <c r="B217" s="5" t="s">
        <v>262</v>
      </c>
      <c r="C217" s="5" t="s">
        <v>263</v>
      </c>
      <c r="D217" s="5"/>
      <c r="E217" s="5"/>
      <c r="F217" s="5"/>
      <c r="G217" s="107" t="s">
        <v>11</v>
      </c>
      <c r="H217" s="108"/>
      <c r="I217" s="4"/>
      <c r="J217" s="4"/>
      <c r="K217" s="4"/>
    </row>
    <row r="218" spans="1:11">
      <c r="A218" s="7">
        <f t="shared" si="3"/>
        <v>26</v>
      </c>
      <c r="B218" s="4" t="s">
        <v>264</v>
      </c>
      <c r="C218" s="5" t="s">
        <v>265</v>
      </c>
      <c r="D218" s="5"/>
      <c r="E218" s="4"/>
      <c r="F218" s="5"/>
      <c r="G218" s="4"/>
      <c r="H218" s="108"/>
      <c r="I218" s="109">
        <v>0</v>
      </c>
      <c r="J218" s="110"/>
      <c r="K218" s="4"/>
    </row>
    <row r="219" spans="1:11" ht="13.5" thickBot="1">
      <c r="A219" s="7">
        <f t="shared" si="3"/>
        <v>27</v>
      </c>
      <c r="B219" s="111" t="s">
        <v>266</v>
      </c>
      <c r="C219" s="11" t="s">
        <v>267</v>
      </c>
      <c r="D219" s="4"/>
      <c r="E219" s="5"/>
      <c r="F219" s="5"/>
      <c r="G219" s="5"/>
      <c r="H219" s="5"/>
      <c r="I219" s="112">
        <f>+'5-P3 Support'!C68</f>
        <v>0</v>
      </c>
      <c r="J219" s="110"/>
      <c r="K219" s="4"/>
    </row>
    <row r="220" spans="1:11">
      <c r="A220" s="7">
        <f t="shared" si="3"/>
        <v>28</v>
      </c>
      <c r="B220" s="4" t="s">
        <v>268</v>
      </c>
      <c r="C220" s="13"/>
      <c r="D220" s="4"/>
      <c r="E220" s="5"/>
      <c r="F220" s="5"/>
      <c r="G220" s="5"/>
      <c r="H220" s="5"/>
      <c r="I220" s="113">
        <f>I218-I219</f>
        <v>0</v>
      </c>
      <c r="J220" s="110"/>
      <c r="K220" s="4"/>
    </row>
    <row r="221" spans="1:11">
      <c r="A221" s="7"/>
      <c r="B221" s="4"/>
      <c r="C221" s="13"/>
      <c r="D221" s="4"/>
      <c r="E221" s="5"/>
      <c r="F221" s="5"/>
      <c r="G221" s="5"/>
      <c r="H221" s="5"/>
      <c r="I221" s="114"/>
      <c r="J221" s="4"/>
      <c r="K221" s="4"/>
    </row>
    <row r="222" spans="1:11">
      <c r="A222" s="7">
        <f>+A220+1</f>
        <v>29</v>
      </c>
      <c r="B222" s="5" t="s">
        <v>269</v>
      </c>
      <c r="C222" s="13" t="s">
        <v>270</v>
      </c>
      <c r="D222" s="4"/>
      <c r="E222" s="5"/>
      <c r="F222" s="5"/>
      <c r="G222" s="115"/>
      <c r="H222" s="5"/>
      <c r="I222" s="57">
        <f>+'5-P3 Support'!D68</f>
        <v>0</v>
      </c>
      <c r="J222" s="4"/>
      <c r="K222" s="116"/>
    </row>
    <row r="223" spans="1:11">
      <c r="A223" s="7"/>
      <c r="B223" s="4"/>
      <c r="C223" s="5"/>
      <c r="D223" s="5"/>
      <c r="E223" s="5"/>
      <c r="F223" s="5"/>
      <c r="G223" s="5"/>
      <c r="H223" s="5"/>
      <c r="I223" s="114"/>
      <c r="J223" s="4"/>
      <c r="K223" s="116"/>
    </row>
    <row r="224" spans="1:11">
      <c r="A224" s="7">
        <f>+A222+1</f>
        <v>30</v>
      </c>
      <c r="B224" s="5" t="s">
        <v>271</v>
      </c>
      <c r="C224" s="5" t="s">
        <v>272</v>
      </c>
      <c r="D224" s="5"/>
      <c r="E224" s="5"/>
      <c r="F224" s="5"/>
      <c r="G224" s="5"/>
      <c r="H224" s="5"/>
      <c r="I224" s="4"/>
      <c r="J224" s="4"/>
      <c r="K224" s="116"/>
    </row>
    <row r="225" spans="1:11">
      <c r="A225" s="7">
        <f>+A224+1</f>
        <v>31</v>
      </c>
      <c r="B225" s="117" t="s">
        <v>273</v>
      </c>
      <c r="C225" s="11" t="s">
        <v>274</v>
      </c>
      <c r="D225" s="11"/>
      <c r="E225" s="11"/>
      <c r="F225" s="11"/>
      <c r="G225" s="11"/>
      <c r="H225" s="11"/>
      <c r="I225" s="118">
        <f>+'5-P3 Support'!E68</f>
        <v>0</v>
      </c>
      <c r="J225" s="11"/>
      <c r="K225" s="116"/>
    </row>
    <row r="226" spans="1:11" ht="26.25" thickBot="1">
      <c r="A226" s="7">
        <f>+A225+1</f>
        <v>32</v>
      </c>
      <c r="B226" s="119" t="s">
        <v>275</v>
      </c>
      <c r="C226" s="11" t="s">
        <v>276</v>
      </c>
      <c r="D226" s="5"/>
      <c r="E226" s="5"/>
      <c r="F226" s="5"/>
      <c r="G226" s="5"/>
      <c r="H226" s="5"/>
      <c r="I226" s="120">
        <f>+'5-P3 Support'!F68</f>
        <v>0</v>
      </c>
      <c r="J226" s="4"/>
      <c r="K226" s="121"/>
    </row>
    <row r="227" spans="1:11">
      <c r="A227" s="7">
        <f>+A226+1</f>
        <v>33</v>
      </c>
      <c r="B227" s="1" t="s">
        <v>268</v>
      </c>
      <c r="C227" s="7"/>
      <c r="D227" s="11"/>
      <c r="E227" s="11"/>
      <c r="F227" s="11"/>
      <c r="G227" s="11"/>
      <c r="H227" s="5"/>
      <c r="I227" s="25">
        <f>+I225-I226</f>
        <v>0</v>
      </c>
      <c r="J227" s="11"/>
      <c r="K227" s="11"/>
    </row>
    <row r="228" spans="1:11">
      <c r="A228" s="7"/>
      <c r="B228" s="1"/>
      <c r="C228" s="7"/>
      <c r="D228" s="11"/>
      <c r="E228" s="11"/>
      <c r="F228" s="11"/>
      <c r="G228" s="11"/>
      <c r="H228" s="5"/>
      <c r="I228" s="25"/>
      <c r="J228" s="11"/>
      <c r="K228" s="11"/>
    </row>
    <row r="229" spans="1:11">
      <c r="A229" s="7"/>
      <c r="D229" s="11"/>
      <c r="E229" s="11"/>
      <c r="F229" s="11"/>
      <c r="G229" s="11"/>
      <c r="H229" s="5"/>
      <c r="I229" s="25"/>
      <c r="J229" s="11"/>
      <c r="K229" s="11"/>
    </row>
    <row r="230" spans="1:11">
      <c r="A230" s="7"/>
      <c r="B230" s="1"/>
      <c r="C230" s="7"/>
      <c r="D230" s="11"/>
      <c r="E230" s="11"/>
      <c r="F230" s="11"/>
      <c r="G230" s="11"/>
      <c r="H230" s="5"/>
      <c r="I230" s="25"/>
      <c r="J230" s="11"/>
      <c r="K230" s="11"/>
    </row>
    <row r="231" spans="1:11">
      <c r="A231" s="7"/>
      <c r="B231" s="1"/>
      <c r="C231" s="7"/>
      <c r="D231" s="11"/>
      <c r="E231" s="11"/>
      <c r="F231" s="11"/>
      <c r="G231" s="11"/>
      <c r="H231" s="5"/>
      <c r="I231" s="25"/>
      <c r="J231" s="11"/>
      <c r="K231" s="11"/>
    </row>
    <row r="232" spans="1:11">
      <c r="A232" s="7"/>
      <c r="B232" s="122"/>
      <c r="C232" s="7"/>
      <c r="D232" s="11"/>
      <c r="E232" s="11"/>
      <c r="F232" s="11"/>
      <c r="G232" s="11"/>
      <c r="H232" s="5"/>
      <c r="I232" s="114"/>
      <c r="J232" s="11"/>
      <c r="K232" s="11"/>
    </row>
    <row r="233" spans="1:11">
      <c r="A233" s="7"/>
      <c r="B233" s="122"/>
      <c r="C233" s="7"/>
      <c r="D233" s="11"/>
      <c r="E233" s="11"/>
      <c r="F233" s="11"/>
      <c r="G233" s="11"/>
      <c r="H233" s="5"/>
      <c r="I233" s="114"/>
      <c r="J233" s="11"/>
      <c r="K233" s="11"/>
    </row>
    <row r="234" spans="1:11">
      <c r="A234" s="7"/>
      <c r="B234" s="13"/>
      <c r="C234" s="13"/>
      <c r="D234" s="11"/>
      <c r="E234" s="11"/>
      <c r="F234" s="11"/>
      <c r="G234" s="11"/>
      <c r="H234" s="13"/>
      <c r="I234" s="11"/>
      <c r="J234" s="13"/>
      <c r="K234" s="68" t="s">
        <v>277</v>
      </c>
    </row>
    <row r="235" spans="1:11">
      <c r="A235" s="7"/>
      <c r="B235" s="13"/>
      <c r="C235" s="13"/>
      <c r="D235" s="11"/>
      <c r="E235" s="11"/>
      <c r="F235" s="11"/>
      <c r="G235" s="11"/>
      <c r="H235" s="13"/>
      <c r="I235" s="11"/>
      <c r="J235" s="13"/>
      <c r="K235" s="11"/>
    </row>
    <row r="236" spans="1:11">
      <c r="A236" s="7"/>
      <c r="B236" s="122" t="s">
        <v>2</v>
      </c>
      <c r="C236" s="7"/>
      <c r="D236" s="12" t="s">
        <v>4</v>
      </c>
      <c r="E236" s="11"/>
      <c r="F236" s="11"/>
      <c r="G236" s="11"/>
      <c r="H236" s="5"/>
      <c r="I236" s="1"/>
      <c r="J236" s="4"/>
      <c r="K236" s="123" t="str">
        <f>K3</f>
        <v>For  the 12 months ended 12/31/2020</v>
      </c>
    </row>
    <row r="237" spans="1:11">
      <c r="A237" s="7"/>
      <c r="B237" s="122"/>
      <c r="C237" s="7"/>
      <c r="D237" s="12" t="s">
        <v>6</v>
      </c>
      <c r="E237" s="11"/>
      <c r="F237" s="11"/>
      <c r="G237" s="11"/>
      <c r="H237" s="5"/>
      <c r="I237" s="124"/>
      <c r="J237" s="4"/>
      <c r="K237" s="11"/>
    </row>
    <row r="238" spans="1:11">
      <c r="A238" s="7"/>
      <c r="B238" s="122"/>
      <c r="C238" s="7"/>
      <c r="D238" s="50" t="str">
        <f>D5</f>
        <v>NextEra Energy Transmission MidAtlantic Indiana, Inc.</v>
      </c>
      <c r="E238" s="11"/>
      <c r="F238" s="11"/>
      <c r="G238" s="11"/>
      <c r="H238" s="5"/>
      <c r="I238" s="124"/>
      <c r="J238" s="4"/>
      <c r="K238" s="11"/>
    </row>
    <row r="239" spans="1:11">
      <c r="A239" s="69"/>
      <c r="B239" s="69"/>
      <c r="C239" s="69"/>
      <c r="D239" s="69"/>
      <c r="E239" s="69"/>
      <c r="F239" s="69"/>
      <c r="G239" s="69"/>
      <c r="H239" s="69"/>
      <c r="I239" s="69"/>
      <c r="J239" s="69"/>
      <c r="K239" s="69"/>
    </row>
    <row r="240" spans="1:11">
      <c r="A240" s="7"/>
      <c r="B240" s="122"/>
      <c r="C240" s="7"/>
      <c r="D240" s="11"/>
      <c r="E240" s="11"/>
      <c r="F240" s="11"/>
      <c r="G240" s="11"/>
      <c r="H240" s="5"/>
      <c r="I240" s="124"/>
      <c r="J240" s="4"/>
      <c r="K240" s="11"/>
    </row>
    <row r="241" spans="1:11">
      <c r="A241" s="7"/>
      <c r="B241" s="5" t="s">
        <v>278</v>
      </c>
      <c r="C241" s="7"/>
      <c r="D241" s="11"/>
      <c r="E241" s="11"/>
      <c r="F241" s="11"/>
      <c r="G241" s="11"/>
      <c r="H241" s="5"/>
      <c r="I241" s="11"/>
      <c r="J241" s="5"/>
      <c r="K241" s="11"/>
    </row>
    <row r="242" spans="1:11">
      <c r="A242" s="7"/>
      <c r="B242" s="125" t="s">
        <v>279</v>
      </c>
      <c r="C242" s="7"/>
      <c r="D242" s="11"/>
      <c r="E242" s="11"/>
      <c r="F242" s="11"/>
      <c r="G242" s="11"/>
      <c r="H242" s="5"/>
      <c r="I242" s="11"/>
      <c r="J242" s="5"/>
      <c r="K242" s="11"/>
    </row>
    <row r="243" spans="1:11">
      <c r="A243" s="7" t="s">
        <v>280</v>
      </c>
      <c r="B243" s="5"/>
      <c r="C243" s="5"/>
      <c r="D243" s="11"/>
      <c r="E243" s="11"/>
      <c r="F243" s="11"/>
      <c r="G243" s="11"/>
      <c r="H243" s="5"/>
      <c r="I243" s="11"/>
      <c r="J243" s="5"/>
      <c r="K243" s="11"/>
    </row>
    <row r="244" spans="1:11" ht="13.5" thickBot="1">
      <c r="A244" s="19" t="s">
        <v>281</v>
      </c>
      <c r="B244" s="126"/>
      <c r="C244" s="126"/>
      <c r="D244" s="127"/>
      <c r="E244" s="127"/>
      <c r="F244" s="127"/>
      <c r="G244" s="127"/>
      <c r="H244" s="128"/>
      <c r="I244" s="127"/>
      <c r="J244" s="128"/>
      <c r="K244" s="127"/>
    </row>
    <row r="245" spans="1:11">
      <c r="A245" s="128" t="s">
        <v>282</v>
      </c>
      <c r="B245" s="129" t="s">
        <v>283</v>
      </c>
      <c r="C245" s="129"/>
      <c r="D245" s="129"/>
      <c r="E245" s="129"/>
      <c r="F245" s="129"/>
      <c r="G245" s="129"/>
      <c r="H245" s="129"/>
      <c r="I245" s="129"/>
      <c r="J245" s="129"/>
      <c r="K245" s="129"/>
    </row>
    <row r="246" spans="1:11" ht="29.25" customHeight="1">
      <c r="A246" s="128" t="s">
        <v>284</v>
      </c>
      <c r="B246" s="129" t="s">
        <v>285</v>
      </c>
      <c r="C246" s="129"/>
      <c r="D246" s="129"/>
      <c r="E246" s="129"/>
      <c r="F246" s="129"/>
      <c r="G246" s="129"/>
      <c r="H246" s="129"/>
      <c r="I246" s="129"/>
      <c r="J246" s="129"/>
      <c r="K246" s="129"/>
    </row>
    <row r="247" spans="1:11">
      <c r="A247" s="128" t="s">
        <v>286</v>
      </c>
      <c r="B247" s="129" t="s">
        <v>287</v>
      </c>
      <c r="C247" s="129"/>
      <c r="D247" s="129"/>
      <c r="E247" s="129"/>
      <c r="F247" s="129"/>
      <c r="G247" s="129"/>
      <c r="H247" s="129"/>
      <c r="I247" s="129"/>
      <c r="J247" s="129"/>
      <c r="K247" s="129"/>
    </row>
    <row r="248" spans="1:11" ht="29.25" customHeight="1">
      <c r="A248" s="128" t="s">
        <v>288</v>
      </c>
      <c r="B248" s="129" t="s">
        <v>289</v>
      </c>
      <c r="C248" s="129"/>
      <c r="D248" s="129"/>
      <c r="E248" s="129"/>
      <c r="F248" s="129"/>
      <c r="G248" s="129"/>
      <c r="H248" s="129"/>
      <c r="I248" s="129"/>
      <c r="J248" s="129"/>
      <c r="K248" s="129"/>
    </row>
    <row r="249" spans="1:11" ht="29.25" customHeight="1">
      <c r="A249" s="128" t="s">
        <v>290</v>
      </c>
      <c r="B249" s="129" t="s">
        <v>291</v>
      </c>
      <c r="C249" s="129"/>
      <c r="D249" s="129"/>
      <c r="E249" s="129"/>
      <c r="F249" s="129"/>
      <c r="G249" s="129"/>
      <c r="H249" s="129"/>
      <c r="I249" s="129"/>
      <c r="J249" s="129"/>
      <c r="K249" s="129"/>
    </row>
    <row r="250" spans="1:11" ht="30" customHeight="1">
      <c r="A250" s="128" t="s">
        <v>292</v>
      </c>
      <c r="B250" s="129" t="s">
        <v>293</v>
      </c>
      <c r="C250" s="129"/>
      <c r="D250" s="129"/>
      <c r="E250" s="129"/>
      <c r="F250" s="129"/>
      <c r="G250" s="129"/>
      <c r="H250" s="129"/>
      <c r="I250" s="129"/>
      <c r="J250" s="129"/>
      <c r="K250" s="129"/>
    </row>
    <row r="251" spans="1:11" ht="45.75" customHeight="1">
      <c r="A251" s="129" t="s">
        <v>294</v>
      </c>
      <c r="B251" s="129" t="s">
        <v>295</v>
      </c>
      <c r="C251" s="129"/>
      <c r="D251" s="129"/>
      <c r="E251" s="129"/>
      <c r="F251" s="129"/>
      <c r="G251" s="129"/>
      <c r="H251" s="129"/>
      <c r="I251" s="129"/>
      <c r="J251" s="129"/>
      <c r="K251" s="129"/>
    </row>
    <row r="252" spans="1:11">
      <c r="A252" s="129"/>
      <c r="B252" s="130" t="s">
        <v>296</v>
      </c>
      <c r="C252" s="130" t="s">
        <v>297</v>
      </c>
      <c r="D252" s="131">
        <v>0.21</v>
      </c>
      <c r="E252" s="130"/>
      <c r="F252" s="130"/>
      <c r="G252" s="130"/>
      <c r="H252" s="130"/>
      <c r="I252" s="130"/>
      <c r="J252" s="130"/>
      <c r="K252" s="130"/>
    </row>
    <row r="253" spans="1:11">
      <c r="A253" s="129"/>
      <c r="B253" s="130"/>
      <c r="C253" s="130" t="s">
        <v>298</v>
      </c>
      <c r="D253" s="132">
        <f>5.25%</f>
        <v>5.2499999999999998E-2</v>
      </c>
      <c r="E253" s="130" t="s">
        <v>299</v>
      </c>
      <c r="F253" s="130"/>
      <c r="G253" s="130"/>
      <c r="H253" s="130"/>
      <c r="I253" s="130"/>
      <c r="J253" s="130"/>
      <c r="K253" s="130"/>
    </row>
    <row r="254" spans="1:11">
      <c r="A254" s="129"/>
      <c r="B254" s="130"/>
      <c r="C254" s="130" t="s">
        <v>300</v>
      </c>
      <c r="D254" s="133">
        <v>0</v>
      </c>
      <c r="E254" s="130" t="s">
        <v>301</v>
      </c>
      <c r="F254" s="130"/>
      <c r="G254" s="130"/>
      <c r="H254" s="130"/>
      <c r="I254" s="130"/>
      <c r="J254" s="130"/>
      <c r="K254" s="130"/>
    </row>
    <row r="255" spans="1:11">
      <c r="A255" s="129"/>
      <c r="B255" s="130"/>
      <c r="C255" s="130"/>
      <c r="D255" s="134"/>
      <c r="E255" s="130"/>
      <c r="F255" s="130"/>
      <c r="G255" s="130"/>
      <c r="H255" s="130"/>
      <c r="I255" s="130"/>
      <c r="J255" s="130"/>
      <c r="K255" s="130"/>
    </row>
    <row r="256" spans="1:11" ht="19.5" customHeight="1">
      <c r="A256" s="128" t="s">
        <v>302</v>
      </c>
      <c r="B256" s="129" t="s">
        <v>303</v>
      </c>
      <c r="C256" s="129"/>
      <c r="D256" s="129"/>
      <c r="E256" s="129"/>
      <c r="F256" s="129"/>
      <c r="G256" s="129"/>
      <c r="H256" s="129"/>
      <c r="I256" s="129"/>
      <c r="J256" s="129"/>
      <c r="K256" s="129"/>
    </row>
    <row r="257" spans="1:11" ht="31.5" customHeight="1">
      <c r="A257" s="128" t="s">
        <v>304</v>
      </c>
      <c r="B257" s="129" t="s">
        <v>305</v>
      </c>
      <c r="C257" s="129"/>
      <c r="D257" s="129"/>
      <c r="E257" s="129"/>
      <c r="F257" s="129"/>
      <c r="G257" s="129"/>
      <c r="H257" s="129"/>
      <c r="I257" s="129"/>
      <c r="J257" s="129"/>
      <c r="K257" s="129"/>
    </row>
    <row r="258" spans="1:11">
      <c r="A258" s="128" t="s">
        <v>306</v>
      </c>
      <c r="B258" s="129" t="s">
        <v>307</v>
      </c>
      <c r="C258" s="129"/>
      <c r="D258" s="129"/>
      <c r="E258" s="129"/>
      <c r="F258" s="129"/>
      <c r="G258" s="129"/>
      <c r="H258" s="129"/>
      <c r="I258" s="129"/>
      <c r="J258" s="129"/>
      <c r="K258" s="129"/>
    </row>
    <row r="259" spans="1:11">
      <c r="A259" s="128" t="s">
        <v>308</v>
      </c>
      <c r="B259" s="129" t="s">
        <v>309</v>
      </c>
      <c r="C259" s="129"/>
      <c r="D259" s="129"/>
      <c r="E259" s="129"/>
      <c r="F259" s="129"/>
      <c r="G259" s="129"/>
      <c r="H259" s="129"/>
      <c r="I259" s="129"/>
      <c r="J259" s="129"/>
      <c r="K259" s="129"/>
    </row>
    <row r="260" spans="1:11">
      <c r="A260" s="128" t="s">
        <v>310</v>
      </c>
      <c r="B260" s="129" t="s">
        <v>311</v>
      </c>
      <c r="C260" s="129"/>
      <c r="D260" s="129"/>
      <c r="E260" s="129"/>
      <c r="F260" s="129"/>
      <c r="G260" s="129"/>
      <c r="H260" s="129"/>
      <c r="I260" s="129"/>
      <c r="J260" s="129"/>
      <c r="K260" s="129"/>
    </row>
    <row r="261" spans="1:11">
      <c r="A261" s="128" t="s">
        <v>312</v>
      </c>
      <c r="B261" s="129" t="s">
        <v>313</v>
      </c>
      <c r="C261" s="129"/>
      <c r="D261" s="129"/>
      <c r="E261" s="129"/>
      <c r="F261" s="129"/>
      <c r="G261" s="129"/>
      <c r="H261" s="129"/>
      <c r="I261" s="129"/>
      <c r="J261" s="129"/>
      <c r="K261" s="129"/>
    </row>
    <row r="262" spans="1:11">
      <c r="A262" s="128" t="s">
        <v>314</v>
      </c>
      <c r="B262" s="129" t="s">
        <v>315</v>
      </c>
      <c r="C262" s="129"/>
      <c r="D262" s="129"/>
      <c r="E262" s="129"/>
      <c r="F262" s="129"/>
      <c r="G262" s="129"/>
      <c r="H262" s="129"/>
      <c r="I262" s="129"/>
      <c r="J262" s="129"/>
      <c r="K262" s="129"/>
    </row>
    <row r="263" spans="1:11" ht="33.75" customHeight="1">
      <c r="A263" s="128" t="s">
        <v>316</v>
      </c>
      <c r="B263" s="135" t="s">
        <v>317</v>
      </c>
      <c r="C263" s="136"/>
      <c r="D263" s="136"/>
      <c r="E263" s="136"/>
      <c r="F263" s="136"/>
      <c r="G263" s="136"/>
      <c r="H263" s="136"/>
      <c r="I263" s="136"/>
      <c r="J263" s="136"/>
      <c r="K263" s="136"/>
    </row>
    <row r="264" spans="1:11">
      <c r="A264" s="137" t="s">
        <v>318</v>
      </c>
      <c r="B264" s="138" t="s">
        <v>283</v>
      </c>
      <c r="C264" s="139"/>
      <c r="D264" s="139"/>
      <c r="E264" s="139"/>
      <c r="F264" s="139"/>
      <c r="G264" s="139"/>
      <c r="H264" s="139"/>
      <c r="I264" s="139"/>
      <c r="J264" s="139"/>
      <c r="K264" s="139"/>
    </row>
    <row r="265" spans="1:11" ht="28.5" customHeight="1">
      <c r="A265" s="140" t="s">
        <v>319</v>
      </c>
      <c r="B265" s="141" t="s">
        <v>320</v>
      </c>
      <c r="C265" s="141"/>
      <c r="D265" s="141"/>
      <c r="E265" s="141"/>
      <c r="F265" s="141"/>
      <c r="G265" s="141"/>
      <c r="H265" s="141"/>
      <c r="I265" s="141"/>
      <c r="J265" s="141"/>
      <c r="K265" s="141"/>
    </row>
    <row r="266" spans="1:11">
      <c r="A266" s="140" t="s">
        <v>321</v>
      </c>
      <c r="B266" s="142" t="s">
        <v>322</v>
      </c>
      <c r="C266" s="142"/>
      <c r="D266" s="142"/>
      <c r="E266" s="142"/>
      <c r="F266" s="142"/>
      <c r="G266" s="142"/>
      <c r="H266" s="142"/>
      <c r="I266" s="142"/>
      <c r="J266" s="142"/>
      <c r="K266" s="142"/>
    </row>
    <row r="267" spans="1:11" ht="18.75" customHeight="1">
      <c r="A267" s="140" t="s">
        <v>323</v>
      </c>
      <c r="B267" s="143" t="s">
        <v>324</v>
      </c>
      <c r="C267" s="143"/>
      <c r="D267" s="143"/>
      <c r="E267" s="143"/>
      <c r="F267" s="143"/>
      <c r="G267" s="143"/>
      <c r="H267" s="143"/>
      <c r="I267" s="143"/>
      <c r="J267" s="143"/>
      <c r="K267" s="143"/>
    </row>
    <row r="268" spans="1:11" s="72" customFormat="1" ht="29.25" customHeight="1">
      <c r="A268" s="140" t="s">
        <v>325</v>
      </c>
      <c r="B268" s="144" t="s">
        <v>326</v>
      </c>
      <c r="C268" s="144"/>
      <c r="D268" s="144"/>
      <c r="E268" s="144"/>
      <c r="F268" s="144"/>
      <c r="G268" s="144"/>
      <c r="H268" s="144"/>
      <c r="I268" s="144"/>
      <c r="J268" s="144"/>
      <c r="K268" s="144"/>
    </row>
    <row r="269" spans="1:11" s="72" customFormat="1">
      <c r="A269" s="140" t="s">
        <v>327</v>
      </c>
      <c r="B269" s="145" t="s">
        <v>328</v>
      </c>
      <c r="C269" s="145"/>
      <c r="D269" s="145"/>
      <c r="E269" s="145"/>
      <c r="F269" s="145"/>
      <c r="G269" s="145"/>
      <c r="H269" s="130"/>
      <c r="I269" s="146"/>
      <c r="J269" s="147"/>
      <c r="K269" s="147"/>
    </row>
    <row r="270" spans="1:11" s="72" customFormat="1">
      <c r="A270" s="148" t="s">
        <v>329</v>
      </c>
      <c r="B270" s="148" t="s">
        <v>330</v>
      </c>
      <c r="C270" s="148"/>
      <c r="D270" s="148"/>
      <c r="E270" s="148"/>
      <c r="F270" s="148"/>
      <c r="G270" s="148"/>
      <c r="H270" s="148"/>
      <c r="I270" s="148"/>
      <c r="J270" s="148"/>
      <c r="K270" s="148"/>
    </row>
    <row r="271" spans="1:11">
      <c r="A271" s="3" t="s">
        <v>331</v>
      </c>
      <c r="B271" s="3" t="s">
        <v>332</v>
      </c>
    </row>
    <row r="272" spans="1:11" ht="15">
      <c r="A272" s="149" t="s">
        <v>333</v>
      </c>
      <c r="B272" s="3" t="s">
        <v>334</v>
      </c>
    </row>
    <row r="273" spans="1:2">
      <c r="A273" s="3" t="s">
        <v>335</v>
      </c>
      <c r="B273" s="150" t="s">
        <v>336</v>
      </c>
    </row>
    <row r="274" spans="1:2">
      <c r="B274" s="150" t="s">
        <v>337</v>
      </c>
    </row>
  </sheetData>
  <mergeCells count="26">
    <mergeCell ref="B268:K268"/>
    <mergeCell ref="B262:K262"/>
    <mergeCell ref="B263:K263"/>
    <mergeCell ref="B264:K264"/>
    <mergeCell ref="B265:K265"/>
    <mergeCell ref="B266:K266"/>
    <mergeCell ref="B267:K267"/>
    <mergeCell ref="B256:K256"/>
    <mergeCell ref="B257:K257"/>
    <mergeCell ref="B258:K258"/>
    <mergeCell ref="B259:K259"/>
    <mergeCell ref="B260:K260"/>
    <mergeCell ref="B261:K261"/>
    <mergeCell ref="B246:K246"/>
    <mergeCell ref="B247:K247"/>
    <mergeCell ref="B248:K248"/>
    <mergeCell ref="B249:K249"/>
    <mergeCell ref="B250:K250"/>
    <mergeCell ref="A251:A255"/>
    <mergeCell ref="B251:K251"/>
    <mergeCell ref="A57:K57"/>
    <mergeCell ref="A114:K114"/>
    <mergeCell ref="A180:K180"/>
    <mergeCell ref="A239:K239"/>
    <mergeCell ref="B244:C244"/>
    <mergeCell ref="B245:K245"/>
  </mergeCells>
  <pageMargins left="0.25" right="0.25" top="0.75" bottom="0.75" header="0.3" footer="0.3"/>
  <pageSetup scale="58" fitToHeight="0" orientation="landscape" r:id="rId1"/>
  <rowBreaks count="4" manualBreakCount="4">
    <brk id="50" max="10" man="1"/>
    <brk id="108" max="16383" man="1"/>
    <brk id="173" max="10" man="1"/>
    <brk id="23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A199-2FB1-4C48-99C8-38A6E6CD8327}">
  <dimension ref="A1:F77"/>
  <sheetViews>
    <sheetView zoomScale="85" zoomScaleNormal="85" workbookViewId="0">
      <selection activeCell="D253" sqref="D253"/>
    </sheetView>
  </sheetViews>
  <sheetFormatPr defaultColWidth="8.77734375" defaultRowHeight="12.75"/>
  <cols>
    <col min="1" max="1" width="6" style="385" bestFit="1" customWidth="1"/>
    <col min="2" max="2" width="28.44140625" style="3" bestFit="1" customWidth="1"/>
    <col min="3" max="3" width="56.21875" style="102" customWidth="1"/>
    <col min="4" max="4" width="20.44140625" style="3" bestFit="1" customWidth="1"/>
    <col min="5" max="16384" width="8.77734375" style="3"/>
  </cols>
  <sheetData>
    <row r="1" spans="1:4" ht="15" customHeight="1">
      <c r="D1" s="543" t="s">
        <v>451</v>
      </c>
    </row>
    <row r="2" spans="1:4" ht="15" customHeight="1">
      <c r="A2" s="544" t="s">
        <v>789</v>
      </c>
      <c r="B2" s="544"/>
      <c r="C2" s="544"/>
      <c r="D2" s="544"/>
    </row>
    <row r="3" spans="1:4" ht="15" customHeight="1">
      <c r="A3" s="545" t="s">
        <v>790</v>
      </c>
      <c r="B3" s="545"/>
      <c r="C3" s="545"/>
      <c r="D3" s="545"/>
    </row>
    <row r="4" spans="1:4" ht="15" customHeight="1">
      <c r="A4" s="546" t="str">
        <f>'Attachment H'!$D$5</f>
        <v>NextEra Energy Transmission MidAtlantic Indiana, Inc.</v>
      </c>
      <c r="B4" s="546"/>
      <c r="C4" s="546"/>
      <c r="D4" s="546"/>
    </row>
    <row r="6" spans="1:4" ht="15.75">
      <c r="A6" s="547" t="s">
        <v>14</v>
      </c>
      <c r="B6" s="548" t="s">
        <v>791</v>
      </c>
      <c r="C6" s="548" t="s">
        <v>792</v>
      </c>
      <c r="D6" s="548" t="s">
        <v>793</v>
      </c>
    </row>
    <row r="7" spans="1:4" ht="15.75">
      <c r="A7" s="547"/>
      <c r="B7" s="549" t="s">
        <v>794</v>
      </c>
      <c r="C7" s="548"/>
      <c r="D7" s="548"/>
    </row>
    <row r="8" spans="1:4" ht="15.75">
      <c r="A8" s="550">
        <v>1</v>
      </c>
      <c r="B8" s="551" t="s">
        <v>795</v>
      </c>
      <c r="C8" s="548" t="s">
        <v>796</v>
      </c>
      <c r="D8" s="552">
        <v>0</v>
      </c>
    </row>
    <row r="9" spans="1:4" ht="15.75">
      <c r="A9" s="550">
        <f>+A8+1</f>
        <v>2</v>
      </c>
      <c r="B9" s="551" t="s">
        <v>797</v>
      </c>
      <c r="C9" s="548" t="s">
        <v>798</v>
      </c>
      <c r="D9" s="552">
        <v>1.33</v>
      </c>
    </row>
    <row r="10" spans="1:4" ht="15.75">
      <c r="A10" s="550">
        <f>+A8+1</f>
        <v>2</v>
      </c>
      <c r="B10" s="551" t="s">
        <v>799</v>
      </c>
      <c r="C10" s="548" t="s">
        <v>800</v>
      </c>
      <c r="D10" s="552">
        <v>3.36</v>
      </c>
    </row>
    <row r="11" spans="1:4" ht="15.75">
      <c r="A11" s="550">
        <f>+A10+1</f>
        <v>3</v>
      </c>
      <c r="B11" s="551" t="s">
        <v>801</v>
      </c>
      <c r="C11" s="548" t="s">
        <v>802</v>
      </c>
      <c r="D11" s="552">
        <v>2.92</v>
      </c>
    </row>
    <row r="12" spans="1:4" ht="15.75">
      <c r="A12" s="550">
        <f>+A11+1</f>
        <v>4</v>
      </c>
      <c r="B12" s="551" t="s">
        <v>803</v>
      </c>
      <c r="C12" s="548" t="s">
        <v>804</v>
      </c>
      <c r="D12" s="552">
        <v>2.02</v>
      </c>
    </row>
    <row r="13" spans="1:4" ht="15.75">
      <c r="A13" s="550">
        <f>+A12+1</f>
        <v>5</v>
      </c>
      <c r="B13" s="551" t="s">
        <v>805</v>
      </c>
      <c r="C13" s="548" t="s">
        <v>806</v>
      </c>
      <c r="D13" s="552">
        <v>2.0499999999999998</v>
      </c>
    </row>
    <row r="14" spans="1:4" ht="15.75">
      <c r="A14" s="550">
        <f t="shared" ref="A14:A36" si="0">+A13+1</f>
        <v>6</v>
      </c>
      <c r="B14" s="551" t="s">
        <v>807</v>
      </c>
      <c r="C14" s="548" t="s">
        <v>808</v>
      </c>
      <c r="D14" s="552">
        <v>3.1</v>
      </c>
    </row>
    <row r="15" spans="1:4" ht="15.75">
      <c r="A15" s="550">
        <f t="shared" si="0"/>
        <v>7</v>
      </c>
      <c r="B15" s="551" t="s">
        <v>809</v>
      </c>
      <c r="C15" s="548" t="s">
        <v>810</v>
      </c>
      <c r="D15" s="552">
        <v>0</v>
      </c>
    </row>
    <row r="16" spans="1:4" ht="15.75">
      <c r="A16" s="550">
        <f t="shared" si="0"/>
        <v>8</v>
      </c>
      <c r="B16" s="551" t="s">
        <v>811</v>
      </c>
      <c r="C16" s="548" t="s">
        <v>812</v>
      </c>
      <c r="D16" s="552">
        <v>0</v>
      </c>
    </row>
    <row r="17" spans="1:4" ht="15.75">
      <c r="A17" s="550">
        <f t="shared" si="0"/>
        <v>9</v>
      </c>
      <c r="B17" s="551" t="s">
        <v>813</v>
      </c>
      <c r="C17" s="548" t="s">
        <v>814</v>
      </c>
      <c r="D17" s="552">
        <v>0</v>
      </c>
    </row>
    <row r="18" spans="1:4" ht="15.75">
      <c r="A18" s="550"/>
      <c r="B18" s="548"/>
      <c r="C18" s="548"/>
      <c r="D18" s="552"/>
    </row>
    <row r="19" spans="1:4" ht="15.75">
      <c r="A19" s="550"/>
      <c r="B19" s="551" t="s">
        <v>815</v>
      </c>
      <c r="C19" s="548"/>
      <c r="D19" s="552"/>
    </row>
    <row r="20" spans="1:4" ht="15.75">
      <c r="A20" s="550">
        <f>+A17+1</f>
        <v>10</v>
      </c>
      <c r="B20" s="551" t="s">
        <v>816</v>
      </c>
      <c r="C20" s="548" t="s">
        <v>817</v>
      </c>
      <c r="D20" s="552">
        <v>0</v>
      </c>
    </row>
    <row r="21" spans="1:4" ht="15.75">
      <c r="A21" s="550">
        <f t="shared" si="0"/>
        <v>11</v>
      </c>
      <c r="B21" s="551" t="s">
        <v>818</v>
      </c>
      <c r="C21" s="548" t="s">
        <v>819</v>
      </c>
      <c r="D21" s="552">
        <v>5.25</v>
      </c>
    </row>
    <row r="22" spans="1:4" ht="15.75">
      <c r="A22" s="550">
        <f t="shared" si="0"/>
        <v>12</v>
      </c>
      <c r="B22" s="551">
        <v>392</v>
      </c>
      <c r="C22" s="548" t="s">
        <v>820</v>
      </c>
      <c r="D22" s="552">
        <v>0</v>
      </c>
    </row>
    <row r="23" spans="1:4" ht="15.75">
      <c r="A23" s="550">
        <f t="shared" si="0"/>
        <v>13</v>
      </c>
      <c r="B23" s="551" t="s">
        <v>821</v>
      </c>
      <c r="C23" s="548" t="s">
        <v>822</v>
      </c>
      <c r="D23" s="552">
        <v>0</v>
      </c>
    </row>
    <row r="24" spans="1:4" ht="15.75">
      <c r="A24" s="550">
        <f t="shared" si="0"/>
        <v>14</v>
      </c>
      <c r="B24" s="551" t="s">
        <v>823</v>
      </c>
      <c r="C24" s="548" t="s">
        <v>824</v>
      </c>
      <c r="D24" s="552">
        <v>0</v>
      </c>
    </row>
    <row r="25" spans="1:4" ht="15.75">
      <c r="A25" s="550">
        <f t="shared" si="0"/>
        <v>15</v>
      </c>
      <c r="B25" s="551" t="s">
        <v>825</v>
      </c>
      <c r="C25" s="548" t="s">
        <v>826</v>
      </c>
      <c r="D25" s="552">
        <v>0</v>
      </c>
    </row>
    <row r="26" spans="1:4" ht="15.75">
      <c r="A26" s="550">
        <f t="shared" si="0"/>
        <v>16</v>
      </c>
      <c r="B26" s="551" t="s">
        <v>827</v>
      </c>
      <c r="C26" s="548" t="s">
        <v>828</v>
      </c>
      <c r="D26" s="552">
        <v>25</v>
      </c>
    </row>
    <row r="27" spans="1:4" ht="15.75">
      <c r="A27" s="550">
        <f t="shared" si="0"/>
        <v>17</v>
      </c>
      <c r="B27" s="551" t="s">
        <v>829</v>
      </c>
      <c r="C27" s="548" t="s">
        <v>830</v>
      </c>
      <c r="D27" s="552">
        <v>2.5</v>
      </c>
    </row>
    <row r="28" spans="1:4" ht="15.75">
      <c r="A28" s="550"/>
      <c r="B28" s="548"/>
      <c r="C28" s="548"/>
      <c r="D28" s="552"/>
    </row>
    <row r="29" spans="1:4" ht="15.75">
      <c r="A29" s="550"/>
      <c r="B29" s="551" t="s">
        <v>831</v>
      </c>
      <c r="C29" s="548"/>
      <c r="D29" s="552"/>
    </row>
    <row r="30" spans="1:4" ht="15.75">
      <c r="A30" s="550">
        <v>18</v>
      </c>
      <c r="B30" s="551" t="s">
        <v>832</v>
      </c>
      <c r="C30" s="548" t="s">
        <v>833</v>
      </c>
      <c r="D30" s="552">
        <v>1.85</v>
      </c>
    </row>
    <row r="31" spans="1:4" ht="15.75">
      <c r="A31" s="550">
        <f>+A30+1</f>
        <v>19</v>
      </c>
      <c r="B31" s="553">
        <v>302</v>
      </c>
      <c r="C31" s="548" t="s">
        <v>834</v>
      </c>
      <c r="D31" s="554">
        <v>1.85</v>
      </c>
    </row>
    <row r="32" spans="1:4" ht="15.75">
      <c r="A32" s="550">
        <f t="shared" si="0"/>
        <v>20</v>
      </c>
      <c r="B32" s="551" t="s">
        <v>835</v>
      </c>
      <c r="C32" s="548" t="s">
        <v>836</v>
      </c>
      <c r="D32" s="552"/>
    </row>
    <row r="33" spans="1:6" ht="15.75">
      <c r="A33" s="550">
        <f t="shared" si="0"/>
        <v>21</v>
      </c>
      <c r="B33" s="551"/>
      <c r="C33" s="548" t="s">
        <v>837</v>
      </c>
      <c r="D33" s="552">
        <f>0.2*100</f>
        <v>20</v>
      </c>
    </row>
    <row r="34" spans="1:6" ht="15.75">
      <c r="A34" s="550">
        <f t="shared" si="0"/>
        <v>22</v>
      </c>
      <c r="B34" s="551"/>
      <c r="C34" s="548" t="s">
        <v>838</v>
      </c>
      <c r="D34" s="552">
        <f>0.142857142857143*100</f>
        <v>14.285714285714299</v>
      </c>
    </row>
    <row r="35" spans="1:6" ht="15.75">
      <c r="A35" s="550">
        <f t="shared" si="0"/>
        <v>23</v>
      </c>
      <c r="B35" s="551"/>
      <c r="C35" s="548" t="s">
        <v>839</v>
      </c>
      <c r="D35" s="552">
        <v>10</v>
      </c>
    </row>
    <row r="36" spans="1:6" ht="15.75">
      <c r="A36" s="550">
        <f t="shared" si="0"/>
        <v>24</v>
      </c>
      <c r="B36" s="548"/>
      <c r="C36" s="553" t="s">
        <v>840</v>
      </c>
      <c r="D36" s="555" t="s">
        <v>841</v>
      </c>
    </row>
    <row r="37" spans="1:6" ht="15.75">
      <c r="C37" s="556"/>
      <c r="D37" s="556"/>
      <c r="E37" s="556"/>
    </row>
    <row r="38" spans="1:6" ht="15.75">
      <c r="A38" s="547"/>
      <c r="B38" s="547"/>
      <c r="C38" s="556"/>
      <c r="D38" s="556"/>
      <c r="E38" s="556"/>
    </row>
    <row r="39" spans="1:6" ht="18">
      <c r="A39" s="3"/>
      <c r="B39" s="557" t="s">
        <v>842</v>
      </c>
      <c r="C39" s="557"/>
      <c r="D39" s="558"/>
      <c r="E39" s="559"/>
      <c r="F39" s="559"/>
    </row>
    <row r="40" spans="1:6" ht="18">
      <c r="A40" s="3"/>
      <c r="B40" s="557" t="s">
        <v>843</v>
      </c>
      <c r="C40" s="557"/>
      <c r="D40" s="558"/>
      <c r="E40" s="559"/>
      <c r="F40" s="559"/>
    </row>
    <row r="41" spans="1:6" ht="18">
      <c r="A41" s="3"/>
      <c r="B41" s="557" t="s">
        <v>844</v>
      </c>
      <c r="C41" s="557"/>
      <c r="D41" s="558"/>
      <c r="E41" s="559"/>
      <c r="F41" s="559"/>
    </row>
    <row r="42" spans="1:6" ht="18">
      <c r="A42" s="3"/>
      <c r="B42" s="557" t="s">
        <v>845</v>
      </c>
      <c r="C42" s="557"/>
      <c r="D42" s="558"/>
      <c r="E42" s="559"/>
      <c r="F42" s="559"/>
    </row>
    <row r="43" spans="1:6" ht="18">
      <c r="A43" s="3"/>
      <c r="B43" s="557" t="s">
        <v>846</v>
      </c>
      <c r="C43" s="557"/>
      <c r="D43" s="558"/>
      <c r="E43" s="559"/>
      <c r="F43" s="559"/>
    </row>
    <row r="44" spans="1:6" ht="18">
      <c r="A44" s="3"/>
      <c r="B44" s="557" t="s">
        <v>847</v>
      </c>
      <c r="C44" s="557"/>
      <c r="D44" s="558"/>
      <c r="E44" s="559"/>
      <c r="F44" s="559"/>
    </row>
    <row r="45" spans="1:6" ht="18.75">
      <c r="A45" s="3"/>
      <c r="B45" s="560"/>
      <c r="C45" s="561"/>
      <c r="D45" s="562"/>
    </row>
    <row r="46" spans="1:6" ht="18">
      <c r="A46" s="3"/>
      <c r="B46" s="563" t="s">
        <v>848</v>
      </c>
      <c r="C46" s="564"/>
    </row>
    <row r="47" spans="1:6" ht="15.75">
      <c r="A47" s="565"/>
      <c r="B47" s="566"/>
      <c r="C47" s="564"/>
    </row>
    <row r="48" spans="1:6">
      <c r="A48" s="565"/>
      <c r="B48" s="567"/>
      <c r="C48" s="568"/>
    </row>
    <row r="49" spans="1:3">
      <c r="A49" s="565"/>
      <c r="B49" s="567"/>
      <c r="C49" s="568"/>
    </row>
    <row r="50" spans="1:3">
      <c r="A50" s="565"/>
      <c r="B50" s="567"/>
      <c r="C50" s="568"/>
    </row>
    <row r="51" spans="1:3">
      <c r="A51" s="565"/>
      <c r="B51" s="567"/>
      <c r="C51" s="568"/>
    </row>
    <row r="52" spans="1:3">
      <c r="A52" s="565"/>
      <c r="B52" s="567"/>
      <c r="C52" s="568"/>
    </row>
    <row r="53" spans="1:3">
      <c r="A53" s="565"/>
      <c r="B53" s="567"/>
      <c r="C53" s="568"/>
    </row>
    <row r="54" spans="1:3">
      <c r="A54" s="565"/>
      <c r="B54" s="567"/>
    </row>
    <row r="55" spans="1:3">
      <c r="A55" s="569"/>
      <c r="B55" s="567"/>
    </row>
    <row r="56" spans="1:3">
      <c r="A56" s="569"/>
      <c r="B56" s="567"/>
    </row>
    <row r="57" spans="1:3">
      <c r="A57" s="569"/>
    </row>
    <row r="58" spans="1:3">
      <c r="A58" s="569"/>
    </row>
    <row r="59" spans="1:3">
      <c r="A59" s="569"/>
    </row>
    <row r="60" spans="1:3">
      <c r="A60" s="569"/>
    </row>
    <row r="61" spans="1:3">
      <c r="A61" s="569"/>
    </row>
    <row r="62" spans="1:3">
      <c r="A62" s="569"/>
    </row>
    <row r="63" spans="1:3">
      <c r="A63" s="569"/>
    </row>
    <row r="64" spans="1:3">
      <c r="A64" s="569"/>
    </row>
    <row r="65" spans="1:1">
      <c r="A65" s="569"/>
    </row>
    <row r="66" spans="1:1">
      <c r="A66" s="569"/>
    </row>
    <row r="67" spans="1:1" ht="24" customHeight="1">
      <c r="A67" s="569"/>
    </row>
    <row r="68" spans="1:1">
      <c r="A68" s="569"/>
    </row>
    <row r="69" spans="1:1">
      <c r="A69" s="569"/>
    </row>
    <row r="70" spans="1:1">
      <c r="A70" s="569"/>
    </row>
    <row r="71" spans="1:1">
      <c r="A71" s="569"/>
    </row>
    <row r="72" spans="1:1">
      <c r="A72" s="569"/>
    </row>
    <row r="73" spans="1:1">
      <c r="A73" s="569"/>
    </row>
    <row r="74" spans="1:1">
      <c r="A74" s="569"/>
    </row>
    <row r="75" spans="1:1">
      <c r="A75" s="569"/>
    </row>
    <row r="76" spans="1:1">
      <c r="A76" s="569"/>
    </row>
    <row r="77" spans="1:1">
      <c r="A77" s="569"/>
    </row>
  </sheetData>
  <mergeCells count="3">
    <mergeCell ref="A2:D2"/>
    <mergeCell ref="A3:D3"/>
    <mergeCell ref="A4:D4"/>
  </mergeCells>
  <pageMargins left="0.25" right="0.25" top="0.75" bottom="0.75" header="0.3" footer="0.3"/>
  <pageSetup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4E1C-07FC-4A9E-BB96-74280ABD778B}">
  <dimension ref="A1:U109"/>
  <sheetViews>
    <sheetView zoomScale="85" zoomScaleNormal="85" zoomScaleSheetLayoutView="80" workbookViewId="0">
      <selection activeCell="D253" sqref="D253"/>
    </sheetView>
  </sheetViews>
  <sheetFormatPr defaultColWidth="8.77734375" defaultRowHeight="12.75"/>
  <cols>
    <col min="1" max="1" width="6" style="151" customWidth="1"/>
    <col min="2" max="2" width="1.44140625" style="151" customWidth="1"/>
    <col min="3" max="3" width="36" style="151" customWidth="1"/>
    <col min="4" max="4" width="13.77734375" style="151" customWidth="1"/>
    <col min="5" max="5" width="17.5546875" style="151" customWidth="1"/>
    <col min="6" max="6" width="13.109375" style="151" customWidth="1"/>
    <col min="7" max="7" width="14.44140625" style="151" customWidth="1"/>
    <col min="8" max="8" width="16.21875" style="151" customWidth="1"/>
    <col min="9" max="9" width="13.77734375" style="151" customWidth="1"/>
    <col min="10" max="10" width="14.44140625" style="151" customWidth="1"/>
    <col min="11" max="11" width="13.5546875" style="151" customWidth="1"/>
    <col min="12" max="13" width="15.77734375" style="151" customWidth="1"/>
    <col min="14" max="15" width="14.44140625" style="151" customWidth="1"/>
    <col min="16" max="16" width="12.77734375" style="151" customWidth="1"/>
    <col min="17" max="17" width="13.77734375" style="151" customWidth="1"/>
    <col min="18" max="18" width="9.21875" style="151" customWidth="1"/>
    <col min="19" max="19" width="13" style="151" customWidth="1"/>
    <col min="20" max="20" width="11.21875" style="25" bestFit="1" customWidth="1"/>
    <col min="21" max="16384" width="8.77734375" style="151"/>
  </cols>
  <sheetData>
    <row r="1" spans="1:21">
      <c r="Q1" s="152"/>
    </row>
    <row r="2" spans="1:21">
      <c r="Q2" s="152"/>
    </row>
    <row r="4" spans="1:21">
      <c r="Q4" s="152"/>
    </row>
    <row r="5" spans="1:21">
      <c r="D5" s="153"/>
      <c r="E5" s="153"/>
      <c r="F5" s="153"/>
      <c r="G5" s="154" t="s">
        <v>338</v>
      </c>
      <c r="H5" s="153"/>
      <c r="I5" s="153"/>
      <c r="J5" s="153"/>
      <c r="K5" s="153"/>
      <c r="L5" s="1"/>
      <c r="M5" s="155"/>
      <c r="N5" s="155"/>
      <c r="O5" s="155"/>
      <c r="P5" s="155"/>
      <c r="Q5" s="155"/>
      <c r="R5" s="156"/>
      <c r="S5" s="156" t="s">
        <v>339</v>
      </c>
      <c r="T5" s="157"/>
      <c r="U5" s="156"/>
    </row>
    <row r="6" spans="1:21">
      <c r="D6" s="153"/>
      <c r="E6" s="158" t="s">
        <v>11</v>
      </c>
      <c r="F6" s="158"/>
      <c r="G6" s="154" t="s">
        <v>340</v>
      </c>
      <c r="H6" s="158"/>
      <c r="I6" s="158"/>
      <c r="J6" s="158"/>
      <c r="K6" s="153"/>
      <c r="P6" s="156"/>
      <c r="Q6" s="153"/>
      <c r="R6" s="156"/>
      <c r="S6" s="159"/>
      <c r="T6" s="157"/>
      <c r="U6" s="156"/>
    </row>
    <row r="7" spans="1:21">
      <c r="C7" s="156"/>
      <c r="D7" s="156"/>
      <c r="E7" s="156"/>
      <c r="F7" s="156"/>
      <c r="G7" s="50" t="str">
        <f>'Attachment H'!$D$5</f>
        <v>NextEra Energy Transmission MidAtlantic Indiana, Inc.</v>
      </c>
      <c r="H7" s="156"/>
      <c r="I7" s="156"/>
      <c r="J7" s="156"/>
      <c r="K7" s="156"/>
      <c r="P7" s="156"/>
      <c r="Q7" s="156"/>
      <c r="R7" s="156"/>
      <c r="S7" s="160"/>
      <c r="T7" s="157"/>
      <c r="U7" s="156"/>
    </row>
    <row r="8" spans="1:21">
      <c r="A8" s="154"/>
      <c r="C8" s="156"/>
      <c r="D8" s="156"/>
      <c r="E8" s="156"/>
      <c r="F8" s="156"/>
      <c r="H8" s="156"/>
      <c r="I8" s="156"/>
      <c r="J8" s="156"/>
      <c r="K8" s="156"/>
      <c r="L8" s="156"/>
      <c r="M8" s="156"/>
      <c r="N8" s="156"/>
      <c r="O8" s="156"/>
      <c r="P8" s="156"/>
      <c r="Q8" s="156"/>
      <c r="R8" s="156"/>
      <c r="S8" s="160"/>
      <c r="T8" s="157"/>
      <c r="U8" s="156"/>
    </row>
    <row r="9" spans="1:21">
      <c r="A9" s="154"/>
      <c r="C9" s="156"/>
      <c r="D9" s="156"/>
      <c r="E9" s="156"/>
      <c r="F9" s="156"/>
      <c r="G9" s="161"/>
      <c r="H9" s="156"/>
      <c r="I9" s="156"/>
      <c r="J9" s="156"/>
      <c r="K9" s="156"/>
      <c r="L9" s="156"/>
      <c r="M9" s="156"/>
      <c r="N9" s="156"/>
      <c r="O9" s="156"/>
      <c r="P9" s="156"/>
      <c r="Q9" s="156"/>
      <c r="R9" s="156"/>
      <c r="S9" s="160"/>
      <c r="T9" s="157"/>
      <c r="U9" s="156"/>
    </row>
    <row r="10" spans="1:21">
      <c r="A10" s="154"/>
      <c r="C10" s="156" t="s">
        <v>341</v>
      </c>
      <c r="D10" s="156"/>
      <c r="E10" s="156"/>
      <c r="F10" s="156"/>
      <c r="G10" s="161"/>
      <c r="H10" s="156"/>
      <c r="I10" s="156"/>
      <c r="J10" s="156"/>
      <c r="K10" s="156"/>
      <c r="L10" s="156"/>
      <c r="M10" s="156"/>
      <c r="N10" s="156"/>
      <c r="O10" s="156"/>
      <c r="P10" s="156"/>
      <c r="Q10" s="156"/>
      <c r="R10" s="156"/>
      <c r="S10" s="160"/>
      <c r="T10" s="157"/>
      <c r="U10" s="156"/>
    </row>
    <row r="11" spans="1:21">
      <c r="A11" s="154"/>
      <c r="C11" s="156"/>
      <c r="D11" s="156"/>
      <c r="E11" s="156"/>
      <c r="F11" s="156"/>
      <c r="G11" s="161"/>
      <c r="L11" s="156"/>
      <c r="M11" s="156"/>
      <c r="N11" s="156"/>
      <c r="O11" s="156"/>
      <c r="P11" s="156"/>
      <c r="Q11" s="156"/>
      <c r="R11" s="156"/>
      <c r="S11" s="156"/>
      <c r="U11" s="156"/>
    </row>
    <row r="12" spans="1:21">
      <c r="A12" s="154"/>
      <c r="C12" s="156"/>
      <c r="D12" s="156"/>
      <c r="E12" s="156"/>
      <c r="F12" s="156"/>
      <c r="G12" s="156"/>
      <c r="L12" s="158"/>
      <c r="M12" s="158"/>
      <c r="N12" s="158"/>
      <c r="O12" s="158"/>
      <c r="P12" s="156"/>
      <c r="Q12" s="156"/>
      <c r="R12" s="156"/>
      <c r="S12" s="156"/>
      <c r="U12" s="156"/>
    </row>
    <row r="13" spans="1:21">
      <c r="C13" s="162" t="s">
        <v>8</v>
      </c>
      <c r="D13" s="162"/>
      <c r="E13" s="162" t="s">
        <v>9</v>
      </c>
      <c r="F13" s="162"/>
      <c r="I13" s="162" t="s">
        <v>10</v>
      </c>
      <c r="L13" s="163" t="s">
        <v>12</v>
      </c>
      <c r="M13" s="163"/>
      <c r="N13" s="163"/>
      <c r="O13" s="163"/>
      <c r="P13" s="158"/>
      <c r="Q13" s="163"/>
      <c r="R13" s="158"/>
      <c r="S13" s="163"/>
      <c r="U13" s="156"/>
    </row>
    <row r="14" spans="1:21">
      <c r="C14" s="156"/>
      <c r="D14" s="156"/>
      <c r="E14" s="164" t="s">
        <v>1</v>
      </c>
      <c r="F14" s="164"/>
      <c r="I14" s="158"/>
      <c r="P14" s="158"/>
      <c r="R14" s="158"/>
      <c r="S14" s="162"/>
      <c r="T14" s="101"/>
      <c r="U14" s="156"/>
    </row>
    <row r="15" spans="1:21">
      <c r="A15" s="154" t="s">
        <v>14</v>
      </c>
      <c r="C15" s="156"/>
      <c r="D15" s="156"/>
      <c r="E15" s="165" t="s">
        <v>342</v>
      </c>
      <c r="F15" s="165"/>
      <c r="I15" s="166" t="s">
        <v>41</v>
      </c>
      <c r="L15" s="166" t="s">
        <v>23</v>
      </c>
      <c r="M15" s="166"/>
      <c r="N15" s="166"/>
      <c r="O15" s="166"/>
      <c r="P15" s="158"/>
      <c r="R15" s="156"/>
      <c r="S15" s="167"/>
      <c r="T15" s="101"/>
      <c r="U15" s="156"/>
    </row>
    <row r="16" spans="1:21">
      <c r="A16" s="154" t="s">
        <v>16</v>
      </c>
      <c r="C16" s="168"/>
      <c r="D16" s="168"/>
      <c r="E16" s="158"/>
      <c r="F16" s="158"/>
      <c r="I16" s="158"/>
      <c r="L16" s="158"/>
      <c r="M16" s="158"/>
      <c r="N16" s="158"/>
      <c r="O16" s="158"/>
      <c r="P16" s="158"/>
      <c r="Q16" s="158"/>
      <c r="R16" s="156"/>
      <c r="S16" s="158"/>
      <c r="U16" s="156"/>
    </row>
    <row r="17" spans="1:21">
      <c r="A17" s="169"/>
      <c r="C17" s="156"/>
      <c r="D17" s="156"/>
      <c r="E17" s="158"/>
      <c r="F17" s="158"/>
      <c r="I17" s="158"/>
      <c r="L17" s="158"/>
      <c r="M17" s="158"/>
      <c r="N17" s="158"/>
      <c r="O17" s="158"/>
      <c r="P17" s="158"/>
      <c r="Q17" s="158"/>
      <c r="R17" s="156"/>
      <c r="S17" s="158"/>
      <c r="U17" s="156"/>
    </row>
    <row r="18" spans="1:21">
      <c r="A18" s="170">
        <v>1</v>
      </c>
      <c r="C18" s="156" t="s">
        <v>343</v>
      </c>
      <c r="D18" s="156"/>
      <c r="E18" s="171" t="s">
        <v>344</v>
      </c>
      <c r="F18" s="170"/>
      <c r="I18" s="25">
        <f>+'Attachment H'!I64</f>
        <v>382487.92</v>
      </c>
      <c r="P18" s="158"/>
      <c r="Q18" s="158"/>
      <c r="R18" s="156"/>
      <c r="S18" s="158"/>
      <c r="U18" s="156"/>
    </row>
    <row r="19" spans="1:21">
      <c r="A19" s="170">
        <v>2</v>
      </c>
      <c r="C19" s="156" t="s">
        <v>345</v>
      </c>
      <c r="D19" s="156"/>
      <c r="E19" s="171" t="s">
        <v>346</v>
      </c>
      <c r="F19" s="170"/>
      <c r="I19" s="25">
        <f>+'Attachment H'!I80+'Attachment H'!I93+'Attachment H'!I95</f>
        <v>21572.844615384587</v>
      </c>
      <c r="P19" s="158"/>
      <c r="Q19" s="158"/>
      <c r="R19" s="156"/>
      <c r="S19" s="158"/>
      <c r="U19" s="156"/>
    </row>
    <row r="20" spans="1:21">
      <c r="A20" s="170"/>
      <c r="E20" s="171"/>
      <c r="F20" s="170"/>
      <c r="P20" s="158"/>
      <c r="Q20" s="158"/>
      <c r="R20" s="156"/>
      <c r="S20" s="158"/>
      <c r="U20" s="156"/>
    </row>
    <row r="21" spans="1:21">
      <c r="A21" s="170"/>
      <c r="C21" s="156" t="s">
        <v>347</v>
      </c>
      <c r="D21" s="156"/>
      <c r="E21" s="171"/>
      <c r="F21" s="170"/>
      <c r="I21" s="158"/>
      <c r="L21" s="158"/>
      <c r="M21" s="158"/>
      <c r="N21" s="158"/>
      <c r="O21" s="158"/>
      <c r="P21" s="158"/>
      <c r="Q21" s="158"/>
      <c r="R21" s="158"/>
      <c r="S21" s="158"/>
      <c r="U21" s="156"/>
    </row>
    <row r="22" spans="1:21">
      <c r="A22" s="170">
        <v>3</v>
      </c>
      <c r="C22" s="156" t="s">
        <v>348</v>
      </c>
      <c r="D22" s="156"/>
      <c r="E22" s="171" t="s">
        <v>349</v>
      </c>
      <c r="F22" s="170"/>
      <c r="I22" s="113">
        <f>+'Attachment H'!I134</f>
        <v>270070.57</v>
      </c>
      <c r="P22" s="158"/>
      <c r="Q22" s="158"/>
      <c r="R22" s="158"/>
      <c r="S22" s="158"/>
      <c r="U22" s="156"/>
    </row>
    <row r="23" spans="1:21">
      <c r="A23" s="170">
        <v>4</v>
      </c>
      <c r="C23" s="156" t="s">
        <v>350</v>
      </c>
      <c r="D23" s="156"/>
      <c r="E23" s="171" t="s">
        <v>351</v>
      </c>
      <c r="F23" s="170"/>
      <c r="I23" s="22">
        <f>IF(I18=0,0,I22/I18)</f>
        <v>0.70608914916842347</v>
      </c>
      <c r="L23" s="172">
        <f>I23</f>
        <v>0.70608914916842347</v>
      </c>
      <c r="M23" s="173"/>
      <c r="N23" s="173"/>
      <c r="O23" s="173"/>
      <c r="P23" s="158"/>
      <c r="Q23" s="174"/>
      <c r="R23" s="175"/>
      <c r="S23" s="176"/>
      <c r="U23" s="156"/>
    </row>
    <row r="24" spans="1:21">
      <c r="A24" s="170"/>
      <c r="C24" s="156"/>
      <c r="D24" s="156"/>
      <c r="E24" s="171"/>
      <c r="F24" s="170"/>
      <c r="I24" s="177"/>
      <c r="L24" s="173"/>
      <c r="M24" s="173"/>
      <c r="N24" s="173"/>
      <c r="O24" s="173"/>
      <c r="P24" s="158"/>
      <c r="Q24" s="174"/>
      <c r="R24" s="175"/>
      <c r="S24" s="176"/>
      <c r="U24" s="156"/>
    </row>
    <row r="25" spans="1:21">
      <c r="A25" s="163"/>
      <c r="C25" s="156" t="s">
        <v>352</v>
      </c>
      <c r="D25" s="156"/>
      <c r="E25" s="178"/>
      <c r="F25" s="179"/>
      <c r="I25" s="158"/>
      <c r="L25" s="158"/>
      <c r="M25" s="158"/>
      <c r="N25" s="158"/>
      <c r="O25" s="158"/>
      <c r="P25" s="158"/>
      <c r="Q25" s="174"/>
      <c r="R25" s="175"/>
      <c r="S25" s="176"/>
      <c r="U25" s="156"/>
    </row>
    <row r="26" spans="1:21">
      <c r="A26" s="163" t="s">
        <v>353</v>
      </c>
      <c r="C26" s="156" t="s">
        <v>354</v>
      </c>
      <c r="D26" s="156"/>
      <c r="E26" s="171" t="s">
        <v>355</v>
      </c>
      <c r="F26" s="170"/>
      <c r="I26" s="113">
        <f>+'Attachment H'!I138+'Attachment H'!I139</f>
        <v>0</v>
      </c>
      <c r="P26" s="158"/>
      <c r="Q26" s="174"/>
      <c r="R26" s="175"/>
      <c r="S26" s="176"/>
      <c r="U26" s="156"/>
    </row>
    <row r="27" spans="1:21">
      <c r="A27" s="163" t="s">
        <v>356</v>
      </c>
      <c r="C27" s="156" t="s">
        <v>357</v>
      </c>
      <c r="D27" s="156"/>
      <c r="E27" s="171" t="s">
        <v>358</v>
      </c>
      <c r="F27" s="170"/>
      <c r="I27" s="22">
        <f>IF(I26=0,0,I26/I18)</f>
        <v>0</v>
      </c>
      <c r="J27" s="22"/>
      <c r="K27" s="22"/>
      <c r="L27" s="180">
        <f>I27</f>
        <v>0</v>
      </c>
      <c r="M27" s="173"/>
      <c r="N27" s="173"/>
      <c r="O27" s="173"/>
      <c r="P27" s="158"/>
      <c r="Q27" s="174"/>
      <c r="R27" s="175"/>
      <c r="S27" s="176"/>
      <c r="U27" s="156"/>
    </row>
    <row r="28" spans="1:21">
      <c r="A28" s="170"/>
      <c r="C28" s="156"/>
      <c r="D28" s="156"/>
      <c r="E28" s="171"/>
      <c r="F28" s="170"/>
      <c r="I28" s="22"/>
      <c r="J28" s="22"/>
      <c r="K28" s="22"/>
      <c r="L28" s="180"/>
      <c r="M28" s="173"/>
      <c r="N28" s="173"/>
      <c r="O28" s="173"/>
      <c r="P28" s="158"/>
      <c r="Q28" s="174"/>
      <c r="R28" s="175"/>
      <c r="S28" s="176"/>
      <c r="U28" s="156"/>
    </row>
    <row r="29" spans="1:21">
      <c r="A29" s="163"/>
      <c r="C29" s="156" t="s">
        <v>359</v>
      </c>
      <c r="D29" s="156"/>
      <c r="E29" s="178"/>
      <c r="F29" s="179"/>
      <c r="I29" s="22"/>
      <c r="J29" s="22"/>
      <c r="K29" s="22"/>
      <c r="L29" s="22"/>
      <c r="M29" s="158"/>
      <c r="N29" s="158"/>
      <c r="O29" s="158"/>
      <c r="P29" s="158"/>
      <c r="Q29" s="158"/>
      <c r="R29" s="158"/>
      <c r="S29" s="158"/>
      <c r="U29" s="156"/>
    </row>
    <row r="30" spans="1:21">
      <c r="A30" s="163" t="s">
        <v>360</v>
      </c>
      <c r="C30" s="156" t="s">
        <v>361</v>
      </c>
      <c r="D30" s="156"/>
      <c r="E30" s="171" t="s">
        <v>362</v>
      </c>
      <c r="F30" s="170"/>
      <c r="I30" s="22">
        <f>+'Attachment H'!I152</f>
        <v>0</v>
      </c>
      <c r="J30" s="22"/>
      <c r="K30" s="22"/>
      <c r="L30" s="22"/>
      <c r="P30" s="158"/>
      <c r="Q30" s="167"/>
      <c r="R30" s="158"/>
      <c r="S30" s="170"/>
      <c r="T30" s="101"/>
      <c r="U30" s="156"/>
    </row>
    <row r="31" spans="1:21">
      <c r="A31" s="163" t="s">
        <v>363</v>
      </c>
      <c r="C31" s="156" t="s">
        <v>364</v>
      </c>
      <c r="D31" s="156"/>
      <c r="E31" s="171" t="s">
        <v>365</v>
      </c>
      <c r="F31" s="170"/>
      <c r="I31" s="22">
        <f>IF(I30=0,0,I30/I18)</f>
        <v>0</v>
      </c>
      <c r="J31" s="22"/>
      <c r="K31" s="22"/>
      <c r="L31" s="180">
        <f>I31</f>
        <v>0</v>
      </c>
      <c r="M31" s="173"/>
      <c r="N31" s="173"/>
      <c r="O31" s="173"/>
      <c r="P31" s="158"/>
      <c r="Q31" s="174"/>
      <c r="R31" s="158"/>
      <c r="S31" s="176"/>
      <c r="T31" s="101"/>
      <c r="U31" s="156"/>
    </row>
    <row r="32" spans="1:21">
      <c r="A32" s="163"/>
      <c r="C32" s="156"/>
      <c r="D32" s="156"/>
      <c r="E32" s="171"/>
      <c r="F32" s="170"/>
      <c r="I32" s="158"/>
      <c r="L32" s="158"/>
      <c r="M32" s="158"/>
      <c r="N32" s="158"/>
      <c r="O32" s="158"/>
      <c r="P32" s="158"/>
      <c r="U32" s="156"/>
    </row>
    <row r="33" spans="1:21">
      <c r="A33" s="163" t="s">
        <v>366</v>
      </c>
      <c r="C33" s="156" t="s">
        <v>367</v>
      </c>
      <c r="D33" s="156"/>
      <c r="E33" s="171" t="s">
        <v>368</v>
      </c>
      <c r="F33" s="170"/>
      <c r="I33" s="25">
        <f>-'Attachment H'!I19</f>
        <v>0</v>
      </c>
      <c r="L33" s="158"/>
      <c r="M33" s="158"/>
      <c r="N33" s="158"/>
      <c r="O33" s="158"/>
      <c r="P33" s="158"/>
      <c r="U33" s="156"/>
    </row>
    <row r="34" spans="1:21">
      <c r="A34" s="163" t="s">
        <v>369</v>
      </c>
      <c r="C34" s="156" t="s">
        <v>370</v>
      </c>
      <c r="D34" s="156"/>
      <c r="E34" s="171" t="s">
        <v>371</v>
      </c>
      <c r="F34" s="170"/>
      <c r="I34" s="61">
        <f>IF(L18=0,0,I33/I18)</f>
        <v>0</v>
      </c>
      <c r="L34" s="22">
        <f>+I34</f>
        <v>0</v>
      </c>
      <c r="M34" s="158"/>
      <c r="N34" s="158"/>
      <c r="O34" s="158"/>
      <c r="P34" s="158"/>
      <c r="U34" s="156"/>
    </row>
    <row r="35" spans="1:21">
      <c r="A35" s="163"/>
      <c r="C35" s="156"/>
      <c r="D35" s="156"/>
      <c r="E35" s="171"/>
      <c r="F35" s="170"/>
      <c r="I35" s="158"/>
      <c r="L35" s="158"/>
      <c r="M35" s="158"/>
      <c r="N35" s="158"/>
      <c r="O35" s="158"/>
      <c r="P35" s="158"/>
      <c r="U35" s="156"/>
    </row>
    <row r="36" spans="1:21">
      <c r="A36" s="181" t="s">
        <v>372</v>
      </c>
      <c r="B36" s="182"/>
      <c r="C36" s="168" t="s">
        <v>373</v>
      </c>
      <c r="D36" s="168"/>
      <c r="E36" s="183" t="s">
        <v>374</v>
      </c>
      <c r="F36" s="164"/>
      <c r="I36" s="175"/>
      <c r="L36" s="184">
        <f>L23+L27+L31+L34</f>
        <v>0.70608914916842347</v>
      </c>
      <c r="M36" s="185"/>
      <c r="N36" s="185"/>
      <c r="O36" s="185"/>
      <c r="P36" s="158"/>
      <c r="U36" s="156"/>
    </row>
    <row r="37" spans="1:21">
      <c r="A37" s="163"/>
      <c r="C37" s="156"/>
      <c r="D37" s="156"/>
      <c r="E37" s="171"/>
      <c r="F37" s="170"/>
      <c r="I37" s="158"/>
      <c r="L37" s="158"/>
      <c r="M37" s="158"/>
      <c r="N37" s="158"/>
      <c r="O37" s="158"/>
      <c r="P37" s="158"/>
      <c r="Q37" s="158"/>
      <c r="R37" s="158"/>
      <c r="S37" s="186"/>
      <c r="U37" s="156"/>
    </row>
    <row r="38" spans="1:21">
      <c r="A38" s="163"/>
      <c r="B38" s="187"/>
      <c r="C38" s="158" t="s">
        <v>375</v>
      </c>
      <c r="D38" s="158"/>
      <c r="E38" s="171"/>
      <c r="F38" s="170"/>
      <c r="I38" s="158"/>
      <c r="L38" s="158"/>
      <c r="M38" s="158"/>
      <c r="N38" s="158"/>
      <c r="O38" s="158"/>
      <c r="P38" s="188"/>
      <c r="Q38" s="187"/>
      <c r="T38" s="101"/>
      <c r="U38" s="158" t="s">
        <v>11</v>
      </c>
    </row>
    <row r="39" spans="1:21">
      <c r="A39" s="163" t="s">
        <v>376</v>
      </c>
      <c r="B39" s="187"/>
      <c r="C39" s="158" t="s">
        <v>377</v>
      </c>
      <c r="D39" s="158"/>
      <c r="E39" s="171" t="s">
        <v>378</v>
      </c>
      <c r="F39" s="170"/>
      <c r="I39" s="25">
        <f>+'Attachment H'!I167</f>
        <v>1119.7299270017086</v>
      </c>
      <c r="L39" s="158"/>
      <c r="M39" s="158"/>
      <c r="N39" s="158"/>
      <c r="O39" s="158"/>
      <c r="P39" s="188"/>
      <c r="Q39" s="187"/>
      <c r="T39" s="101"/>
      <c r="U39" s="158"/>
    </row>
    <row r="40" spans="1:21">
      <c r="A40" s="163" t="s">
        <v>379</v>
      </c>
      <c r="B40" s="187"/>
      <c r="C40" s="158" t="s">
        <v>380</v>
      </c>
      <c r="D40" s="158"/>
      <c r="E40" s="171" t="s">
        <v>381</v>
      </c>
      <c r="F40" s="170"/>
      <c r="I40" s="22">
        <f>IF(I19=0,0,I39/I19)</f>
        <v>5.1904602613378939E-2</v>
      </c>
      <c r="L40" s="180">
        <f>I40</f>
        <v>5.1904602613378939E-2</v>
      </c>
      <c r="M40" s="173"/>
      <c r="N40" s="173"/>
      <c r="O40" s="173"/>
      <c r="P40" s="188"/>
      <c r="Q40" s="187"/>
      <c r="R40" s="158"/>
      <c r="S40" s="158"/>
      <c r="T40" s="101"/>
      <c r="U40" s="158"/>
    </row>
    <row r="41" spans="1:21">
      <c r="A41" s="163"/>
      <c r="C41" s="158"/>
      <c r="D41" s="158"/>
      <c r="E41" s="171"/>
      <c r="F41" s="170"/>
      <c r="I41" s="158"/>
      <c r="L41" s="158"/>
      <c r="M41" s="158"/>
      <c r="N41" s="158"/>
      <c r="O41" s="158"/>
      <c r="P41" s="158"/>
      <c r="R41" s="156"/>
      <c r="S41" s="158"/>
      <c r="U41" s="156"/>
    </row>
    <row r="42" spans="1:21">
      <c r="A42" s="163"/>
      <c r="C42" s="156" t="s">
        <v>199</v>
      </c>
      <c r="D42" s="156"/>
      <c r="E42" s="189"/>
      <c r="F42" s="190"/>
      <c r="P42" s="158"/>
      <c r="R42" s="158"/>
      <c r="S42" s="158"/>
      <c r="U42" s="156"/>
    </row>
    <row r="43" spans="1:21">
      <c r="A43" s="163" t="s">
        <v>382</v>
      </c>
      <c r="C43" s="156" t="s">
        <v>383</v>
      </c>
      <c r="D43" s="156"/>
      <c r="E43" s="171" t="s">
        <v>384</v>
      </c>
      <c r="F43" s="170"/>
      <c r="I43" s="25">
        <f>+'Attachment H'!I170</f>
        <v>4155.6991927884592</v>
      </c>
      <c r="L43" s="158"/>
      <c r="M43" s="158"/>
      <c r="N43" s="158"/>
      <c r="O43" s="158"/>
      <c r="P43" s="158"/>
      <c r="R43" s="158"/>
      <c r="S43" s="158"/>
      <c r="U43" s="156"/>
    </row>
    <row r="44" spans="1:21">
      <c r="A44" s="163" t="s">
        <v>385</v>
      </c>
      <c r="B44" s="187"/>
      <c r="C44" s="158" t="s">
        <v>386</v>
      </c>
      <c r="D44" s="158"/>
      <c r="E44" s="171" t="s">
        <v>387</v>
      </c>
      <c r="F44" s="170"/>
      <c r="I44" s="22">
        <f>IF(I19=0,0,I43/I19)</f>
        <v>0.19263566149384115</v>
      </c>
      <c r="L44" s="180">
        <f>I44</f>
        <v>0.19263566149384115</v>
      </c>
      <c r="M44" s="173"/>
      <c r="N44" s="173"/>
      <c r="O44" s="173"/>
      <c r="P44" s="158"/>
      <c r="S44" s="191"/>
      <c r="T44" s="101"/>
      <c r="U44" s="158"/>
    </row>
    <row r="45" spans="1:21">
      <c r="A45" s="163"/>
      <c r="C45" s="156"/>
      <c r="D45" s="156"/>
      <c r="E45" s="171"/>
      <c r="F45" s="170"/>
      <c r="I45" s="158"/>
      <c r="L45" s="158"/>
      <c r="M45" s="158"/>
      <c r="N45" s="158"/>
      <c r="O45" s="158"/>
      <c r="P45" s="158"/>
      <c r="Q45" s="190"/>
      <c r="R45" s="158"/>
      <c r="S45" s="158"/>
      <c r="U45" s="156"/>
    </row>
    <row r="46" spans="1:21">
      <c r="A46" s="181" t="s">
        <v>388</v>
      </c>
      <c r="B46" s="182"/>
      <c r="C46" s="168" t="s">
        <v>389</v>
      </c>
      <c r="D46" s="168"/>
      <c r="E46" s="183" t="s">
        <v>390</v>
      </c>
      <c r="F46" s="164"/>
      <c r="I46" s="22">
        <f>+I44+I40</f>
        <v>0.24454026410722007</v>
      </c>
      <c r="L46" s="192">
        <f>L40+L44</f>
        <v>0.24454026410722007</v>
      </c>
      <c r="M46" s="185"/>
      <c r="N46" s="185"/>
      <c r="O46" s="185"/>
      <c r="P46" s="158"/>
      <c r="Q46" s="190"/>
      <c r="R46" s="158"/>
      <c r="S46" s="158"/>
      <c r="U46" s="156"/>
    </row>
    <row r="47" spans="1:21">
      <c r="P47" s="193"/>
      <c r="Q47" s="193"/>
      <c r="R47" s="158"/>
      <c r="S47" s="158"/>
      <c r="U47" s="156"/>
    </row>
    <row r="48" spans="1:21">
      <c r="P48" s="193"/>
      <c r="Q48" s="193"/>
      <c r="R48" s="158"/>
      <c r="S48" s="158"/>
      <c r="U48" s="156"/>
    </row>
    <row r="49" spans="1:21">
      <c r="A49" s="194"/>
      <c r="C49" s="163"/>
      <c r="D49" s="163"/>
      <c r="E49" s="179"/>
      <c r="F49" s="179"/>
      <c r="G49" s="158"/>
      <c r="J49" s="177"/>
      <c r="P49" s="158"/>
      <c r="Q49" s="174"/>
      <c r="R49" s="155"/>
      <c r="S49" s="158"/>
      <c r="T49" s="101"/>
      <c r="U49" s="158"/>
    </row>
    <row r="50" spans="1:21">
      <c r="A50" s="154"/>
      <c r="G50" s="158"/>
      <c r="P50" s="158"/>
      <c r="Q50" s="158"/>
      <c r="R50" s="158"/>
      <c r="S50" s="158"/>
      <c r="T50" s="101"/>
      <c r="U50" s="158" t="s">
        <v>11</v>
      </c>
    </row>
    <row r="51" spans="1:21">
      <c r="Q51" s="152"/>
    </row>
    <row r="52" spans="1:21">
      <c r="Q52" s="152"/>
    </row>
    <row r="54" spans="1:21">
      <c r="A54" s="154"/>
      <c r="G54" s="158"/>
      <c r="P54" s="158"/>
      <c r="Q54" s="152"/>
      <c r="R54" s="158"/>
      <c r="S54" s="156"/>
      <c r="U54" s="156"/>
    </row>
    <row r="55" spans="1:21">
      <c r="A55" s="154"/>
      <c r="C55" s="156"/>
      <c r="D55" s="156"/>
      <c r="G55" s="179" t="str">
        <f>+G5</f>
        <v>Attachment 1</v>
      </c>
      <c r="H55" s="179"/>
      <c r="P55" s="158"/>
      <c r="Q55" s="152"/>
      <c r="R55" s="158"/>
      <c r="S55" s="151" t="s">
        <v>391</v>
      </c>
      <c r="U55" s="156"/>
    </row>
    <row r="56" spans="1:21">
      <c r="A56" s="154"/>
      <c r="C56" s="156"/>
      <c r="D56" s="156"/>
      <c r="G56" s="179" t="str">
        <f>+G6</f>
        <v>Project Revenue Requirement Worksheet</v>
      </c>
      <c r="H56" s="179"/>
      <c r="L56" s="158"/>
      <c r="M56" s="158"/>
      <c r="N56" s="158"/>
      <c r="O56" s="158"/>
      <c r="P56" s="158"/>
      <c r="R56" s="158"/>
      <c r="S56" s="156"/>
      <c r="U56" s="156"/>
    </row>
    <row r="57" spans="1:21" ht="14.25" customHeight="1">
      <c r="A57" s="154"/>
      <c r="G57" s="50" t="str">
        <f>'Attachment H'!$D$5</f>
        <v>NextEra Energy Transmission MidAtlantic Indiana, Inc.</v>
      </c>
      <c r="P57" s="158"/>
      <c r="R57" s="158"/>
      <c r="S57" s="156"/>
      <c r="U57" s="156"/>
    </row>
    <row r="58" spans="1:21">
      <c r="A58" s="154"/>
      <c r="H58" s="179"/>
      <c r="P58" s="158"/>
      <c r="Q58" s="158"/>
      <c r="R58" s="158"/>
      <c r="S58" s="156"/>
      <c r="U58" s="156"/>
    </row>
    <row r="59" spans="1:21">
      <c r="A59" s="154"/>
      <c r="E59" s="156"/>
      <c r="F59" s="156"/>
      <c r="G59" s="156"/>
      <c r="H59" s="156"/>
      <c r="I59" s="156"/>
      <c r="J59" s="156"/>
      <c r="K59" s="156"/>
      <c r="L59" s="156"/>
      <c r="M59" s="156"/>
      <c r="N59" s="156"/>
      <c r="O59" s="156"/>
      <c r="P59" s="156"/>
      <c r="Q59" s="156"/>
      <c r="R59" s="158"/>
      <c r="S59" s="156"/>
      <c r="U59" s="156"/>
    </row>
    <row r="60" spans="1:21">
      <c r="A60" s="154"/>
      <c r="E60" s="168"/>
      <c r="F60" s="168"/>
      <c r="H60" s="156"/>
      <c r="I60" s="156"/>
      <c r="J60" s="156"/>
      <c r="K60" s="156"/>
      <c r="L60" s="156"/>
      <c r="M60" s="156"/>
      <c r="N60" s="156"/>
      <c r="O60" s="156"/>
      <c r="P60" s="158"/>
      <c r="Q60" s="158"/>
      <c r="R60" s="158"/>
      <c r="S60" s="156"/>
      <c r="U60" s="156"/>
    </row>
    <row r="61" spans="1:21">
      <c r="A61" s="154"/>
      <c r="E61" s="168"/>
      <c r="F61" s="168"/>
      <c r="H61" s="156"/>
      <c r="I61" s="156"/>
      <c r="J61" s="156"/>
      <c r="K61" s="156"/>
      <c r="L61" s="156"/>
      <c r="M61" s="156"/>
      <c r="N61" s="156"/>
      <c r="O61" s="156"/>
      <c r="P61" s="158"/>
      <c r="Q61" s="158"/>
      <c r="R61" s="158"/>
      <c r="S61" s="156"/>
      <c r="U61" s="156"/>
    </row>
    <row r="62" spans="1:21">
      <c r="A62" s="154"/>
      <c r="C62" s="195">
        <v>-1</v>
      </c>
      <c r="D62" s="195">
        <v>-2</v>
      </c>
      <c r="E62" s="195">
        <v>-3</v>
      </c>
      <c r="F62" s="195">
        <v>-4</v>
      </c>
      <c r="G62" s="195">
        <v>-5</v>
      </c>
      <c r="H62" s="195">
        <v>-6</v>
      </c>
      <c r="I62" s="195">
        <v>-7</v>
      </c>
      <c r="J62" s="195">
        <v>-8</v>
      </c>
      <c r="K62" s="195">
        <v>-9</v>
      </c>
      <c r="L62" s="195">
        <v>-10</v>
      </c>
      <c r="M62" s="195">
        <v>-11</v>
      </c>
      <c r="N62" s="195">
        <v>-12</v>
      </c>
      <c r="O62" s="195" t="s">
        <v>392</v>
      </c>
      <c r="P62" s="195">
        <v>-13</v>
      </c>
      <c r="Q62" s="196" t="s">
        <v>393</v>
      </c>
      <c r="R62" s="196" t="s">
        <v>394</v>
      </c>
      <c r="S62" s="196" t="s">
        <v>395</v>
      </c>
      <c r="U62" s="156"/>
    </row>
    <row r="63" spans="1:21" ht="53.25" customHeight="1">
      <c r="A63" s="197" t="s">
        <v>396</v>
      </c>
      <c r="B63" s="198"/>
      <c r="C63" s="199" t="s">
        <v>397</v>
      </c>
      <c r="D63" s="200" t="s">
        <v>398</v>
      </c>
      <c r="E63" s="201" t="s">
        <v>399</v>
      </c>
      <c r="F63" s="201" t="s">
        <v>373</v>
      </c>
      <c r="G63" s="202" t="s">
        <v>400</v>
      </c>
      <c r="H63" s="201" t="s">
        <v>401</v>
      </c>
      <c r="I63" s="201" t="s">
        <v>389</v>
      </c>
      <c r="J63" s="202" t="s">
        <v>402</v>
      </c>
      <c r="K63" s="201" t="s">
        <v>403</v>
      </c>
      <c r="L63" s="203" t="s">
        <v>404</v>
      </c>
      <c r="M63" s="203" t="s">
        <v>405</v>
      </c>
      <c r="N63" s="203" t="s">
        <v>406</v>
      </c>
      <c r="O63" s="203" t="s">
        <v>407</v>
      </c>
      <c r="P63" s="203" t="s">
        <v>408</v>
      </c>
      <c r="Q63" s="203" t="s">
        <v>409</v>
      </c>
      <c r="R63" s="203" t="s">
        <v>410</v>
      </c>
      <c r="S63" s="203" t="s">
        <v>411</v>
      </c>
      <c r="U63" s="156"/>
    </row>
    <row r="64" spans="1:21" ht="46.5" customHeight="1">
      <c r="A64" s="204"/>
      <c r="B64" s="205"/>
      <c r="C64" s="205"/>
      <c r="D64" s="205"/>
      <c r="E64" s="206" t="s">
        <v>412</v>
      </c>
      <c r="F64" s="206" t="s">
        <v>413</v>
      </c>
      <c r="G64" s="207" t="s">
        <v>414</v>
      </c>
      <c r="H64" s="206" t="s">
        <v>415</v>
      </c>
      <c r="I64" s="206" t="s">
        <v>416</v>
      </c>
      <c r="J64" s="207" t="s">
        <v>417</v>
      </c>
      <c r="K64" s="206" t="s">
        <v>418</v>
      </c>
      <c r="L64" s="207" t="s">
        <v>419</v>
      </c>
      <c r="M64" s="206" t="s">
        <v>420</v>
      </c>
      <c r="N64" s="208" t="s">
        <v>421</v>
      </c>
      <c r="O64" s="209" t="s">
        <v>422</v>
      </c>
      <c r="P64" s="210" t="s">
        <v>423</v>
      </c>
      <c r="Q64" s="209" t="s">
        <v>424</v>
      </c>
      <c r="R64" s="211" t="s">
        <v>159</v>
      </c>
      <c r="S64" s="209" t="s">
        <v>425</v>
      </c>
      <c r="U64" s="156"/>
    </row>
    <row r="65" spans="1:21">
      <c r="A65" s="212"/>
      <c r="B65" s="156"/>
      <c r="C65" s="156"/>
      <c r="D65" s="156"/>
      <c r="E65" s="156"/>
      <c r="F65" s="156"/>
      <c r="G65" s="213"/>
      <c r="H65" s="156"/>
      <c r="I65" s="156"/>
      <c r="J65" s="213"/>
      <c r="K65" s="156"/>
      <c r="L65" s="213"/>
      <c r="M65" s="214"/>
      <c r="N65" s="213"/>
      <c r="O65" s="213"/>
      <c r="P65" s="156"/>
      <c r="Q65" s="215"/>
      <c r="R65" s="158"/>
      <c r="S65" s="216"/>
      <c r="U65" s="156"/>
    </row>
    <row r="66" spans="1:21">
      <c r="A66" s="217" t="s">
        <v>426</v>
      </c>
      <c r="B66" s="218"/>
      <c r="C66" s="219" t="s">
        <v>427</v>
      </c>
      <c r="D66" s="220"/>
      <c r="E66" s="221">
        <f>+'4- Rate Base'!C24</f>
        <v>382487.92</v>
      </c>
      <c r="F66" s="22">
        <f t="shared" ref="F66:F84" si="0">$L$36</f>
        <v>0.70608914916842347</v>
      </c>
      <c r="G66" s="222">
        <f t="shared" ref="G66:G84" si="1">E66*F66</f>
        <v>270070.57</v>
      </c>
      <c r="H66" s="221">
        <f>+'4- Rate Base'!C24-'4- Rate Base'!I24</f>
        <v>21572.844615384587</v>
      </c>
      <c r="I66" s="22">
        <f>$L$46</f>
        <v>0.24454026410722007</v>
      </c>
      <c r="J66" s="223">
        <f>H66*I66</f>
        <v>5275.4291197901675</v>
      </c>
      <c r="K66" s="57">
        <f>+'5-P3 Support'!M24</f>
        <v>9821.3599999999988</v>
      </c>
      <c r="L66" s="223">
        <f>G66+J66+K66</f>
        <v>285167.35911979014</v>
      </c>
      <c r="M66" s="224">
        <v>0</v>
      </c>
      <c r="N66" s="223">
        <f>+'2-Incentive ROE'!K$40*'1-Project Rev Req'!M66/100</f>
        <v>0</v>
      </c>
      <c r="O66" s="223">
        <f>+L66+N66</f>
        <v>285167.35911979014</v>
      </c>
      <c r="P66" s="57">
        <v>0</v>
      </c>
      <c r="Q66" s="223">
        <f t="shared" ref="Q66:Q84" si="2">+L66+N66-P66</f>
        <v>285167.35911979014</v>
      </c>
      <c r="R66" s="57">
        <v>0</v>
      </c>
      <c r="S66" s="223">
        <f>+Q66+R66</f>
        <v>285167.35911979014</v>
      </c>
    </row>
    <row r="67" spans="1:21">
      <c r="A67" s="217" t="s">
        <v>428</v>
      </c>
      <c r="B67" s="218"/>
      <c r="C67" s="219"/>
      <c r="D67" s="220"/>
      <c r="E67" s="221">
        <v>0</v>
      </c>
      <c r="F67" s="22">
        <f t="shared" si="0"/>
        <v>0.70608914916842347</v>
      </c>
      <c r="G67" s="222">
        <f t="shared" si="1"/>
        <v>0</v>
      </c>
      <c r="H67" s="221">
        <f>+'4- Rate Base'!E24</f>
        <v>0</v>
      </c>
      <c r="I67" s="22">
        <f t="shared" ref="I67:I84" si="3">$L$46</f>
        <v>0.24454026410722007</v>
      </c>
      <c r="J67" s="223">
        <f t="shared" ref="J67:J84" si="4">H67*I67</f>
        <v>0</v>
      </c>
      <c r="K67" s="57">
        <v>0</v>
      </c>
      <c r="L67" s="223">
        <f t="shared" ref="L67:L84" si="5">G67+J67+K67</f>
        <v>0</v>
      </c>
      <c r="M67" s="224">
        <v>0</v>
      </c>
      <c r="N67" s="223">
        <f>+'2-Incentive ROE'!K$40*'1-Project Rev Req'!M67/100</f>
        <v>0</v>
      </c>
      <c r="O67" s="223">
        <f t="shared" ref="O67:O84" si="6">+L67+N67</f>
        <v>0</v>
      </c>
      <c r="P67" s="57">
        <v>0</v>
      </c>
      <c r="Q67" s="223">
        <f t="shared" si="2"/>
        <v>0</v>
      </c>
      <c r="R67" s="57">
        <v>0</v>
      </c>
      <c r="S67" s="223">
        <f>+Q67+R67</f>
        <v>0</v>
      </c>
    </row>
    <row r="68" spans="1:21">
      <c r="A68" s="217" t="s">
        <v>429</v>
      </c>
      <c r="B68" s="218"/>
      <c r="C68" s="219"/>
      <c r="D68" s="220"/>
      <c r="E68" s="221">
        <v>0</v>
      </c>
      <c r="F68" s="22">
        <f t="shared" si="0"/>
        <v>0.70608914916842347</v>
      </c>
      <c r="G68" s="222">
        <f t="shared" si="1"/>
        <v>0</v>
      </c>
      <c r="H68" s="221">
        <v>0</v>
      </c>
      <c r="I68" s="22">
        <f t="shared" si="3"/>
        <v>0.24454026410722007</v>
      </c>
      <c r="J68" s="223">
        <f>H68*I68</f>
        <v>0</v>
      </c>
      <c r="K68" s="57">
        <v>0</v>
      </c>
      <c r="L68" s="223">
        <f>G68+J68+K68</f>
        <v>0</v>
      </c>
      <c r="M68" s="224">
        <v>0</v>
      </c>
      <c r="N68" s="223">
        <f>+'2-Incentive ROE'!K$40*'1-Project Rev Req'!M68/100</f>
        <v>0</v>
      </c>
      <c r="O68" s="223">
        <f t="shared" si="6"/>
        <v>0</v>
      </c>
      <c r="P68" s="57">
        <v>0</v>
      </c>
      <c r="Q68" s="223">
        <f t="shared" si="2"/>
        <v>0</v>
      </c>
      <c r="R68" s="57">
        <v>0</v>
      </c>
      <c r="S68" s="223">
        <f>+Q68+R68</f>
        <v>0</v>
      </c>
    </row>
    <row r="69" spans="1:21">
      <c r="A69" s="217"/>
      <c r="B69" s="218"/>
      <c r="C69" s="219"/>
      <c r="D69" s="220"/>
      <c r="E69" s="221">
        <v>0</v>
      </c>
      <c r="F69" s="22">
        <f t="shared" si="0"/>
        <v>0.70608914916842347</v>
      </c>
      <c r="G69" s="222">
        <f t="shared" si="1"/>
        <v>0</v>
      </c>
      <c r="H69" s="221">
        <v>0</v>
      </c>
      <c r="I69" s="22">
        <f t="shared" si="3"/>
        <v>0.24454026410722007</v>
      </c>
      <c r="J69" s="223">
        <f t="shared" si="4"/>
        <v>0</v>
      </c>
      <c r="K69" s="57">
        <v>0</v>
      </c>
      <c r="L69" s="223">
        <f t="shared" si="5"/>
        <v>0</v>
      </c>
      <c r="M69" s="224">
        <v>0</v>
      </c>
      <c r="N69" s="223">
        <f>+'2-Incentive ROE'!K$40*'1-Project Rev Req'!M69/100</f>
        <v>0</v>
      </c>
      <c r="O69" s="223">
        <f t="shared" si="6"/>
        <v>0</v>
      </c>
      <c r="P69" s="57">
        <v>0</v>
      </c>
      <c r="Q69" s="223">
        <f t="shared" si="2"/>
        <v>0</v>
      </c>
      <c r="R69" s="57">
        <v>0</v>
      </c>
      <c r="S69" s="223">
        <f>+Q69+R69</f>
        <v>0</v>
      </c>
    </row>
    <row r="70" spans="1:21">
      <c r="A70" s="217"/>
      <c r="B70" s="218"/>
      <c r="C70" s="219"/>
      <c r="D70" s="220"/>
      <c r="E70" s="221">
        <v>0</v>
      </c>
      <c r="F70" s="22">
        <f t="shared" si="0"/>
        <v>0.70608914916842347</v>
      </c>
      <c r="G70" s="222">
        <f t="shared" si="1"/>
        <v>0</v>
      </c>
      <c r="H70" s="221">
        <v>0</v>
      </c>
      <c r="I70" s="22">
        <f t="shared" si="3"/>
        <v>0.24454026410722007</v>
      </c>
      <c r="J70" s="223">
        <f t="shared" si="4"/>
        <v>0</v>
      </c>
      <c r="K70" s="57">
        <v>0</v>
      </c>
      <c r="L70" s="223">
        <f t="shared" si="5"/>
        <v>0</v>
      </c>
      <c r="M70" s="224">
        <v>0</v>
      </c>
      <c r="N70" s="223">
        <f>+'2-Incentive ROE'!K$40*'1-Project Rev Req'!M70/100</f>
        <v>0</v>
      </c>
      <c r="O70" s="223">
        <f t="shared" si="6"/>
        <v>0</v>
      </c>
      <c r="P70" s="57">
        <v>0</v>
      </c>
      <c r="Q70" s="223">
        <f t="shared" si="2"/>
        <v>0</v>
      </c>
      <c r="R70" s="57">
        <v>0</v>
      </c>
      <c r="S70" s="223">
        <f>+Q70+R70</f>
        <v>0</v>
      </c>
    </row>
    <row r="71" spans="1:21">
      <c r="A71" s="217"/>
      <c r="B71" s="218"/>
      <c r="C71" s="219"/>
      <c r="D71" s="220"/>
      <c r="E71" s="221">
        <v>0</v>
      </c>
      <c r="F71" s="22">
        <f t="shared" si="0"/>
        <v>0.70608914916842347</v>
      </c>
      <c r="G71" s="222">
        <f t="shared" si="1"/>
        <v>0</v>
      </c>
      <c r="H71" s="221">
        <v>0</v>
      </c>
      <c r="I71" s="22">
        <f t="shared" si="3"/>
        <v>0.24454026410722007</v>
      </c>
      <c r="J71" s="223">
        <f t="shared" si="4"/>
        <v>0</v>
      </c>
      <c r="K71" s="57">
        <v>0</v>
      </c>
      <c r="L71" s="223">
        <f t="shared" si="5"/>
        <v>0</v>
      </c>
      <c r="M71" s="224">
        <v>0</v>
      </c>
      <c r="N71" s="223">
        <f>+'2-Incentive ROE'!K$40*'1-Project Rev Req'!M71/100</f>
        <v>0</v>
      </c>
      <c r="O71" s="223">
        <f t="shared" si="6"/>
        <v>0</v>
      </c>
      <c r="P71" s="57">
        <v>0</v>
      </c>
      <c r="Q71" s="223">
        <f t="shared" si="2"/>
        <v>0</v>
      </c>
      <c r="R71" s="57">
        <v>0</v>
      </c>
      <c r="S71" s="223">
        <f t="shared" ref="S71:S85" si="7">L71+R71</f>
        <v>0</v>
      </c>
    </row>
    <row r="72" spans="1:21">
      <c r="A72" s="217"/>
      <c r="B72" s="218"/>
      <c r="C72" s="219"/>
      <c r="D72" s="220"/>
      <c r="E72" s="221">
        <v>0</v>
      </c>
      <c r="F72" s="22">
        <f t="shared" si="0"/>
        <v>0.70608914916842347</v>
      </c>
      <c r="G72" s="222">
        <f t="shared" si="1"/>
        <v>0</v>
      </c>
      <c r="H72" s="221">
        <v>0</v>
      </c>
      <c r="I72" s="22">
        <f t="shared" si="3"/>
        <v>0.24454026410722007</v>
      </c>
      <c r="J72" s="223">
        <f t="shared" si="4"/>
        <v>0</v>
      </c>
      <c r="K72" s="57">
        <v>0</v>
      </c>
      <c r="L72" s="223">
        <f t="shared" si="5"/>
        <v>0</v>
      </c>
      <c r="M72" s="224">
        <v>0</v>
      </c>
      <c r="N72" s="223">
        <f>+'2-Incentive ROE'!K$40*'1-Project Rev Req'!M72/100</f>
        <v>0</v>
      </c>
      <c r="O72" s="223">
        <f t="shared" si="6"/>
        <v>0</v>
      </c>
      <c r="P72" s="57">
        <v>0</v>
      </c>
      <c r="Q72" s="223">
        <f t="shared" si="2"/>
        <v>0</v>
      </c>
      <c r="R72" s="57">
        <v>0</v>
      </c>
      <c r="S72" s="223">
        <f t="shared" si="7"/>
        <v>0</v>
      </c>
    </row>
    <row r="73" spans="1:21">
      <c r="A73" s="217"/>
      <c r="B73" s="218"/>
      <c r="C73" s="219"/>
      <c r="D73" s="225"/>
      <c r="E73" s="221">
        <v>0</v>
      </c>
      <c r="F73" s="22">
        <f t="shared" si="0"/>
        <v>0.70608914916842347</v>
      </c>
      <c r="G73" s="222">
        <f t="shared" si="1"/>
        <v>0</v>
      </c>
      <c r="H73" s="221">
        <v>0</v>
      </c>
      <c r="I73" s="22">
        <f t="shared" si="3"/>
        <v>0.24454026410722007</v>
      </c>
      <c r="J73" s="223">
        <f t="shared" si="4"/>
        <v>0</v>
      </c>
      <c r="K73" s="57">
        <v>0</v>
      </c>
      <c r="L73" s="223">
        <f t="shared" si="5"/>
        <v>0</v>
      </c>
      <c r="M73" s="224">
        <v>0</v>
      </c>
      <c r="N73" s="223">
        <f>+'2-Incentive ROE'!K$40*'1-Project Rev Req'!M73/100</f>
        <v>0</v>
      </c>
      <c r="O73" s="223">
        <f t="shared" si="6"/>
        <v>0</v>
      </c>
      <c r="P73" s="57">
        <v>0</v>
      </c>
      <c r="Q73" s="223">
        <f t="shared" si="2"/>
        <v>0</v>
      </c>
      <c r="R73" s="57">
        <v>0</v>
      </c>
      <c r="S73" s="223">
        <f t="shared" si="7"/>
        <v>0</v>
      </c>
    </row>
    <row r="74" spans="1:21">
      <c r="A74" s="217"/>
      <c r="B74" s="218"/>
      <c r="C74" s="219"/>
      <c r="D74" s="220"/>
      <c r="E74" s="221">
        <v>0</v>
      </c>
      <c r="F74" s="22">
        <f t="shared" si="0"/>
        <v>0.70608914916842347</v>
      </c>
      <c r="G74" s="222">
        <f t="shared" si="1"/>
        <v>0</v>
      </c>
      <c r="H74" s="221">
        <v>0</v>
      </c>
      <c r="I74" s="22">
        <f t="shared" si="3"/>
        <v>0.24454026410722007</v>
      </c>
      <c r="J74" s="223">
        <f t="shared" si="4"/>
        <v>0</v>
      </c>
      <c r="K74" s="57">
        <v>0</v>
      </c>
      <c r="L74" s="223">
        <f t="shared" si="5"/>
        <v>0</v>
      </c>
      <c r="M74" s="224">
        <v>0</v>
      </c>
      <c r="N74" s="223">
        <f>+'2-Incentive ROE'!K$40*'1-Project Rev Req'!M74/100</f>
        <v>0</v>
      </c>
      <c r="O74" s="223">
        <f t="shared" si="6"/>
        <v>0</v>
      </c>
      <c r="P74" s="57">
        <v>0</v>
      </c>
      <c r="Q74" s="223">
        <f t="shared" si="2"/>
        <v>0</v>
      </c>
      <c r="R74" s="57">
        <v>0</v>
      </c>
      <c r="S74" s="223">
        <f t="shared" si="7"/>
        <v>0</v>
      </c>
    </row>
    <row r="75" spans="1:21">
      <c r="A75" s="217"/>
      <c r="B75" s="218"/>
      <c r="C75" s="219"/>
      <c r="D75" s="220"/>
      <c r="E75" s="221">
        <v>0</v>
      </c>
      <c r="F75" s="22">
        <f t="shared" si="0"/>
        <v>0.70608914916842347</v>
      </c>
      <c r="G75" s="222">
        <f t="shared" si="1"/>
        <v>0</v>
      </c>
      <c r="H75" s="221">
        <v>0</v>
      </c>
      <c r="I75" s="22">
        <f t="shared" si="3"/>
        <v>0.24454026410722007</v>
      </c>
      <c r="J75" s="223">
        <f t="shared" si="4"/>
        <v>0</v>
      </c>
      <c r="K75" s="57">
        <v>0</v>
      </c>
      <c r="L75" s="223">
        <f t="shared" si="5"/>
        <v>0</v>
      </c>
      <c r="M75" s="224">
        <v>0</v>
      </c>
      <c r="N75" s="223">
        <f>+'2-Incentive ROE'!K$40*'1-Project Rev Req'!M75/100</f>
        <v>0</v>
      </c>
      <c r="O75" s="223">
        <f t="shared" si="6"/>
        <v>0</v>
      </c>
      <c r="P75" s="57">
        <v>0</v>
      </c>
      <c r="Q75" s="223">
        <f t="shared" si="2"/>
        <v>0</v>
      </c>
      <c r="R75" s="57">
        <v>0</v>
      </c>
      <c r="S75" s="223">
        <f t="shared" si="7"/>
        <v>0</v>
      </c>
    </row>
    <row r="76" spans="1:21">
      <c r="A76" s="217"/>
      <c r="B76" s="218"/>
      <c r="C76" s="219"/>
      <c r="D76" s="220"/>
      <c r="E76" s="221">
        <v>0</v>
      </c>
      <c r="F76" s="22">
        <f t="shared" si="0"/>
        <v>0.70608914916842347</v>
      </c>
      <c r="G76" s="222">
        <f t="shared" si="1"/>
        <v>0</v>
      </c>
      <c r="H76" s="221">
        <v>0</v>
      </c>
      <c r="I76" s="22">
        <f t="shared" si="3"/>
        <v>0.24454026410722007</v>
      </c>
      <c r="J76" s="223">
        <f t="shared" si="4"/>
        <v>0</v>
      </c>
      <c r="K76" s="57">
        <v>0</v>
      </c>
      <c r="L76" s="223">
        <f t="shared" si="5"/>
        <v>0</v>
      </c>
      <c r="M76" s="224">
        <v>0</v>
      </c>
      <c r="N76" s="223">
        <f>+'2-Incentive ROE'!K$40*'1-Project Rev Req'!M76/100</f>
        <v>0</v>
      </c>
      <c r="O76" s="223">
        <f t="shared" si="6"/>
        <v>0</v>
      </c>
      <c r="P76" s="57">
        <v>0</v>
      </c>
      <c r="Q76" s="223">
        <f t="shared" si="2"/>
        <v>0</v>
      </c>
      <c r="R76" s="57">
        <v>0</v>
      </c>
      <c r="S76" s="223">
        <f t="shared" si="7"/>
        <v>0</v>
      </c>
    </row>
    <row r="77" spans="1:21">
      <c r="A77" s="217"/>
      <c r="B77" s="218"/>
      <c r="C77" s="219"/>
      <c r="D77" s="220"/>
      <c r="E77" s="221">
        <v>0</v>
      </c>
      <c r="F77" s="22">
        <f t="shared" si="0"/>
        <v>0.70608914916842347</v>
      </c>
      <c r="G77" s="222">
        <f t="shared" si="1"/>
        <v>0</v>
      </c>
      <c r="H77" s="221">
        <v>0</v>
      </c>
      <c r="I77" s="22">
        <f t="shared" si="3"/>
        <v>0.24454026410722007</v>
      </c>
      <c r="J77" s="223">
        <f t="shared" si="4"/>
        <v>0</v>
      </c>
      <c r="K77" s="57">
        <v>0</v>
      </c>
      <c r="L77" s="223">
        <f t="shared" si="5"/>
        <v>0</v>
      </c>
      <c r="M77" s="224">
        <v>0</v>
      </c>
      <c r="N77" s="223">
        <f>+'2-Incentive ROE'!K$40*'1-Project Rev Req'!M77/100</f>
        <v>0</v>
      </c>
      <c r="O77" s="223">
        <f t="shared" si="6"/>
        <v>0</v>
      </c>
      <c r="P77" s="57">
        <v>0</v>
      </c>
      <c r="Q77" s="223">
        <f t="shared" si="2"/>
        <v>0</v>
      </c>
      <c r="R77" s="57">
        <v>0</v>
      </c>
      <c r="S77" s="223">
        <f t="shared" si="7"/>
        <v>0</v>
      </c>
    </row>
    <row r="78" spans="1:21">
      <c r="A78" s="217"/>
      <c r="B78" s="218"/>
      <c r="C78" s="219"/>
      <c r="D78" s="220"/>
      <c r="E78" s="221">
        <v>0</v>
      </c>
      <c r="F78" s="22">
        <f t="shared" si="0"/>
        <v>0.70608914916842347</v>
      </c>
      <c r="G78" s="222">
        <f t="shared" si="1"/>
        <v>0</v>
      </c>
      <c r="H78" s="221">
        <v>0</v>
      </c>
      <c r="I78" s="22">
        <f t="shared" si="3"/>
        <v>0.24454026410722007</v>
      </c>
      <c r="J78" s="223">
        <f t="shared" si="4"/>
        <v>0</v>
      </c>
      <c r="K78" s="57">
        <v>0</v>
      </c>
      <c r="L78" s="223">
        <f t="shared" si="5"/>
        <v>0</v>
      </c>
      <c r="M78" s="224">
        <v>0</v>
      </c>
      <c r="N78" s="223">
        <f>+'2-Incentive ROE'!K$40*'1-Project Rev Req'!M78/100</f>
        <v>0</v>
      </c>
      <c r="O78" s="223">
        <f t="shared" si="6"/>
        <v>0</v>
      </c>
      <c r="P78" s="57">
        <v>0</v>
      </c>
      <c r="Q78" s="223">
        <f t="shared" si="2"/>
        <v>0</v>
      </c>
      <c r="R78" s="57">
        <v>0</v>
      </c>
      <c r="S78" s="223">
        <f t="shared" si="7"/>
        <v>0</v>
      </c>
    </row>
    <row r="79" spans="1:21">
      <c r="A79" s="217"/>
      <c r="B79" s="218"/>
      <c r="C79" s="219"/>
      <c r="D79" s="220"/>
      <c r="E79" s="221">
        <v>0</v>
      </c>
      <c r="F79" s="22">
        <f t="shared" si="0"/>
        <v>0.70608914916842347</v>
      </c>
      <c r="G79" s="222">
        <f t="shared" si="1"/>
        <v>0</v>
      </c>
      <c r="H79" s="221">
        <v>0</v>
      </c>
      <c r="I79" s="22">
        <f t="shared" si="3"/>
        <v>0.24454026410722007</v>
      </c>
      <c r="J79" s="223">
        <f t="shared" si="4"/>
        <v>0</v>
      </c>
      <c r="K79" s="57">
        <v>0</v>
      </c>
      <c r="L79" s="223">
        <f t="shared" si="5"/>
        <v>0</v>
      </c>
      <c r="M79" s="224">
        <v>0</v>
      </c>
      <c r="N79" s="223">
        <f>+'2-Incentive ROE'!K$40*'1-Project Rev Req'!M79/100</f>
        <v>0</v>
      </c>
      <c r="O79" s="223">
        <f t="shared" si="6"/>
        <v>0</v>
      </c>
      <c r="P79" s="57">
        <v>0</v>
      </c>
      <c r="Q79" s="223">
        <f t="shared" si="2"/>
        <v>0</v>
      </c>
      <c r="R79" s="57">
        <v>0</v>
      </c>
      <c r="S79" s="223">
        <f t="shared" si="7"/>
        <v>0</v>
      </c>
    </row>
    <row r="80" spans="1:21">
      <c r="A80" s="217"/>
      <c r="B80" s="218"/>
      <c r="C80" s="219"/>
      <c r="D80" s="220"/>
      <c r="E80" s="221">
        <v>0</v>
      </c>
      <c r="F80" s="22">
        <f t="shared" si="0"/>
        <v>0.70608914916842347</v>
      </c>
      <c r="G80" s="222">
        <f t="shared" si="1"/>
        <v>0</v>
      </c>
      <c r="H80" s="221">
        <v>0</v>
      </c>
      <c r="I80" s="22">
        <f t="shared" si="3"/>
        <v>0.24454026410722007</v>
      </c>
      <c r="J80" s="223">
        <f t="shared" si="4"/>
        <v>0</v>
      </c>
      <c r="K80" s="57">
        <v>0</v>
      </c>
      <c r="L80" s="223">
        <f t="shared" si="5"/>
        <v>0</v>
      </c>
      <c r="M80" s="224">
        <v>0</v>
      </c>
      <c r="N80" s="223">
        <f>+'2-Incentive ROE'!K$40*'1-Project Rev Req'!M80/100</f>
        <v>0</v>
      </c>
      <c r="O80" s="223">
        <f t="shared" si="6"/>
        <v>0</v>
      </c>
      <c r="P80" s="57">
        <v>0</v>
      </c>
      <c r="Q80" s="223">
        <f t="shared" si="2"/>
        <v>0</v>
      </c>
      <c r="R80" s="57">
        <v>0</v>
      </c>
      <c r="S80" s="223">
        <f t="shared" si="7"/>
        <v>0</v>
      </c>
    </row>
    <row r="81" spans="1:20">
      <c r="A81" s="226"/>
      <c r="C81" s="227"/>
      <c r="D81" s="227"/>
      <c r="E81" s="221">
        <v>0</v>
      </c>
      <c r="F81" s="22">
        <f t="shared" si="0"/>
        <v>0.70608914916842347</v>
      </c>
      <c r="G81" s="222">
        <f t="shared" si="1"/>
        <v>0</v>
      </c>
      <c r="H81" s="221">
        <v>0</v>
      </c>
      <c r="I81" s="22">
        <f t="shared" si="3"/>
        <v>0.24454026410722007</v>
      </c>
      <c r="J81" s="223">
        <f t="shared" si="4"/>
        <v>0</v>
      </c>
      <c r="K81" s="57">
        <v>0</v>
      </c>
      <c r="L81" s="223">
        <f t="shared" si="5"/>
        <v>0</v>
      </c>
      <c r="M81" s="224">
        <v>0</v>
      </c>
      <c r="N81" s="223">
        <f>+'2-Incentive ROE'!K$40*'1-Project Rev Req'!M81/100</f>
        <v>0</v>
      </c>
      <c r="O81" s="223">
        <f t="shared" si="6"/>
        <v>0</v>
      </c>
      <c r="P81" s="57">
        <v>0</v>
      </c>
      <c r="Q81" s="223">
        <f t="shared" si="2"/>
        <v>0</v>
      </c>
      <c r="R81" s="57">
        <v>0</v>
      </c>
      <c r="S81" s="223">
        <f t="shared" si="7"/>
        <v>0</v>
      </c>
    </row>
    <row r="82" spans="1:20">
      <c r="A82" s="226"/>
      <c r="C82" s="227"/>
      <c r="D82" s="227"/>
      <c r="E82" s="221">
        <v>0</v>
      </c>
      <c r="F82" s="22">
        <f t="shared" si="0"/>
        <v>0.70608914916842347</v>
      </c>
      <c r="G82" s="222">
        <f t="shared" si="1"/>
        <v>0</v>
      </c>
      <c r="H82" s="221">
        <v>0</v>
      </c>
      <c r="I82" s="22">
        <f t="shared" si="3"/>
        <v>0.24454026410722007</v>
      </c>
      <c r="J82" s="223">
        <f t="shared" si="4"/>
        <v>0</v>
      </c>
      <c r="K82" s="57">
        <v>0</v>
      </c>
      <c r="L82" s="223">
        <f t="shared" si="5"/>
        <v>0</v>
      </c>
      <c r="M82" s="224">
        <v>0</v>
      </c>
      <c r="N82" s="223">
        <f>+'2-Incentive ROE'!K$40*'1-Project Rev Req'!M82/100</f>
        <v>0</v>
      </c>
      <c r="O82" s="223">
        <f t="shared" si="6"/>
        <v>0</v>
      </c>
      <c r="P82" s="57">
        <v>0</v>
      </c>
      <c r="Q82" s="223">
        <f t="shared" si="2"/>
        <v>0</v>
      </c>
      <c r="R82" s="57">
        <v>0</v>
      </c>
      <c r="S82" s="223">
        <f t="shared" si="7"/>
        <v>0</v>
      </c>
    </row>
    <row r="83" spans="1:20">
      <c r="A83" s="226"/>
      <c r="C83" s="227"/>
      <c r="D83" s="227"/>
      <c r="E83" s="221">
        <v>0</v>
      </c>
      <c r="F83" s="22">
        <f t="shared" si="0"/>
        <v>0.70608914916842347</v>
      </c>
      <c r="G83" s="222">
        <f t="shared" si="1"/>
        <v>0</v>
      </c>
      <c r="H83" s="221">
        <v>0</v>
      </c>
      <c r="I83" s="22">
        <f t="shared" si="3"/>
        <v>0.24454026410722007</v>
      </c>
      <c r="J83" s="223">
        <f t="shared" si="4"/>
        <v>0</v>
      </c>
      <c r="K83" s="57">
        <v>0</v>
      </c>
      <c r="L83" s="223">
        <f t="shared" si="5"/>
        <v>0</v>
      </c>
      <c r="M83" s="224">
        <v>0</v>
      </c>
      <c r="N83" s="223">
        <f>+'2-Incentive ROE'!K$40*'1-Project Rev Req'!M83/100</f>
        <v>0</v>
      </c>
      <c r="O83" s="223">
        <f t="shared" si="6"/>
        <v>0</v>
      </c>
      <c r="P83" s="57">
        <v>0</v>
      </c>
      <c r="Q83" s="223">
        <f t="shared" si="2"/>
        <v>0</v>
      </c>
      <c r="R83" s="57">
        <v>0</v>
      </c>
      <c r="S83" s="223">
        <f t="shared" si="7"/>
        <v>0</v>
      </c>
    </row>
    <row r="84" spans="1:20">
      <c r="A84" s="226"/>
      <c r="C84" s="227"/>
      <c r="D84" s="227"/>
      <c r="E84" s="221">
        <v>0</v>
      </c>
      <c r="F84" s="22">
        <f t="shared" si="0"/>
        <v>0.70608914916842347</v>
      </c>
      <c r="G84" s="222">
        <f t="shared" si="1"/>
        <v>0</v>
      </c>
      <c r="H84" s="221">
        <v>0</v>
      </c>
      <c r="I84" s="22">
        <f t="shared" si="3"/>
        <v>0.24454026410722007</v>
      </c>
      <c r="J84" s="223">
        <f t="shared" si="4"/>
        <v>0</v>
      </c>
      <c r="K84" s="57">
        <v>0</v>
      </c>
      <c r="L84" s="223">
        <f t="shared" si="5"/>
        <v>0</v>
      </c>
      <c r="M84" s="224">
        <v>0</v>
      </c>
      <c r="N84" s="223">
        <f>+'2-Incentive ROE'!K$40*'1-Project Rev Req'!M84/100</f>
        <v>0</v>
      </c>
      <c r="O84" s="223">
        <f t="shared" si="6"/>
        <v>0</v>
      </c>
      <c r="P84" s="57">
        <v>0</v>
      </c>
      <c r="Q84" s="223">
        <f t="shared" si="2"/>
        <v>0</v>
      </c>
      <c r="R84" s="57">
        <v>0</v>
      </c>
      <c r="S84" s="223">
        <f t="shared" si="7"/>
        <v>0</v>
      </c>
    </row>
    <row r="85" spans="1:20">
      <c r="A85" s="228"/>
      <c r="B85" s="229"/>
      <c r="C85" s="229"/>
      <c r="D85" s="229"/>
      <c r="E85" s="229"/>
      <c r="F85" s="229"/>
      <c r="G85" s="230"/>
      <c r="H85" s="229"/>
      <c r="I85" s="229"/>
      <c r="J85" s="231"/>
      <c r="K85" s="232"/>
      <c r="L85" s="231"/>
      <c r="M85" s="233"/>
      <c r="N85" s="234"/>
      <c r="O85" s="234"/>
      <c r="P85" s="235"/>
      <c r="Q85" s="234"/>
      <c r="R85" s="232"/>
      <c r="S85" s="231">
        <f t="shared" si="7"/>
        <v>0</v>
      </c>
    </row>
    <row r="86" spans="1:20">
      <c r="A86" s="163" t="s">
        <v>388</v>
      </c>
      <c r="B86" s="187"/>
      <c r="C86" s="156" t="s">
        <v>430</v>
      </c>
      <c r="D86" s="156"/>
      <c r="E86" s="101"/>
      <c r="F86" s="179"/>
      <c r="G86" s="158"/>
      <c r="H86" s="101"/>
      <c r="I86" s="158"/>
      <c r="J86" s="25"/>
      <c r="K86" s="25"/>
      <c r="L86" s="25"/>
      <c r="M86" s="25"/>
      <c r="N86" s="25"/>
      <c r="O86" s="25"/>
      <c r="P86" s="25">
        <f>SUM(P66:P85)</f>
        <v>0</v>
      </c>
      <c r="Q86" s="25"/>
      <c r="R86" s="25"/>
      <c r="S86" s="25">
        <f>SUM(S66:S85)</f>
        <v>285167.35911979014</v>
      </c>
    </row>
    <row r="87" spans="1:20">
      <c r="E87" s="25"/>
      <c r="F87" s="25"/>
      <c r="G87" s="25"/>
      <c r="H87" s="25"/>
      <c r="I87" s="25"/>
      <c r="J87" s="25"/>
      <c r="K87" s="25"/>
      <c r="L87" s="22"/>
    </row>
    <row r="88" spans="1:20">
      <c r="A88" s="236"/>
      <c r="E88" s="25"/>
      <c r="F88" s="25"/>
      <c r="G88" s="25"/>
      <c r="H88" s="25"/>
      <c r="I88" s="25"/>
      <c r="J88" s="25"/>
      <c r="K88" s="25"/>
      <c r="L88" s="22"/>
      <c r="M88" s="191"/>
      <c r="N88" s="191"/>
      <c r="O88" s="191"/>
      <c r="T88" s="237">
        <f>+'Attachment H'!I172</f>
        <v>285167.3591197902</v>
      </c>
    </row>
    <row r="89" spans="1:20">
      <c r="K89" s="187"/>
      <c r="L89" s="187"/>
      <c r="M89" s="187"/>
      <c r="N89" s="187"/>
      <c r="O89" s="187"/>
      <c r="T89" s="237">
        <f>+S86</f>
        <v>285167.35911979014</v>
      </c>
    </row>
    <row r="90" spans="1:20">
      <c r="K90" s="187"/>
      <c r="L90" s="187"/>
      <c r="M90" s="187"/>
      <c r="N90" s="187"/>
      <c r="O90" s="187"/>
      <c r="T90" s="237">
        <f>+T88-T89</f>
        <v>0</v>
      </c>
    </row>
    <row r="91" spans="1:20">
      <c r="A91" s="151" t="s">
        <v>280</v>
      </c>
      <c r="T91" s="237"/>
    </row>
    <row r="92" spans="1:20" ht="13.5" thickBot="1">
      <c r="A92" s="238" t="s">
        <v>281</v>
      </c>
      <c r="T92" s="237"/>
    </row>
    <row r="93" spans="1:20">
      <c r="A93" s="239" t="s">
        <v>431</v>
      </c>
      <c r="C93" s="240" t="s">
        <v>432</v>
      </c>
      <c r="D93" s="240"/>
      <c r="E93" s="240"/>
      <c r="F93" s="240"/>
      <c r="G93" s="240"/>
      <c r="H93" s="240"/>
      <c r="I93" s="240"/>
      <c r="J93" s="240"/>
      <c r="K93" s="240"/>
      <c r="L93" s="240"/>
      <c r="M93" s="240"/>
      <c r="N93" s="240"/>
      <c r="O93" s="240"/>
      <c r="P93" s="240"/>
      <c r="Q93" s="240"/>
      <c r="T93" s="237"/>
    </row>
    <row r="94" spans="1:20">
      <c r="A94" s="239" t="s">
        <v>433</v>
      </c>
      <c r="C94" s="240" t="s">
        <v>434</v>
      </c>
      <c r="D94" s="240"/>
      <c r="E94" s="240"/>
      <c r="F94" s="240"/>
      <c r="G94" s="240"/>
      <c r="H94" s="240"/>
      <c r="I94" s="240"/>
      <c r="J94" s="240"/>
      <c r="K94" s="240"/>
      <c r="L94" s="240"/>
      <c r="M94" s="240"/>
      <c r="N94" s="240"/>
      <c r="O94" s="240"/>
      <c r="P94" s="240"/>
      <c r="Q94" s="240"/>
    </row>
    <row r="95" spans="1:20">
      <c r="A95" s="239" t="s">
        <v>286</v>
      </c>
      <c r="C95" s="241" t="s">
        <v>435</v>
      </c>
      <c r="D95" s="241"/>
      <c r="E95" s="241"/>
      <c r="F95" s="241"/>
      <c r="G95" s="241"/>
      <c r="H95" s="241"/>
      <c r="I95" s="241"/>
      <c r="J95" s="241"/>
      <c r="K95" s="241"/>
      <c r="L95" s="241"/>
      <c r="M95" s="241"/>
      <c r="N95" s="241"/>
      <c r="O95" s="241"/>
      <c r="P95" s="241"/>
      <c r="Q95" s="241"/>
    </row>
    <row r="96" spans="1:20">
      <c r="C96" s="151" t="s">
        <v>436</v>
      </c>
    </row>
    <row r="97" spans="1:17">
      <c r="A97" s="239" t="s">
        <v>288</v>
      </c>
      <c r="C97" s="241" t="s">
        <v>437</v>
      </c>
      <c r="D97" s="241"/>
      <c r="E97" s="241"/>
      <c r="F97" s="241"/>
      <c r="G97" s="241"/>
      <c r="H97" s="241"/>
      <c r="I97" s="241"/>
      <c r="J97" s="241"/>
      <c r="K97" s="241"/>
      <c r="L97" s="241"/>
      <c r="M97" s="241"/>
      <c r="N97" s="241"/>
      <c r="O97" s="241"/>
      <c r="P97" s="241"/>
      <c r="Q97" s="241"/>
    </row>
    <row r="98" spans="1:17">
      <c r="A98" s="179" t="s">
        <v>290</v>
      </c>
      <c r="C98" s="242" t="s">
        <v>438</v>
      </c>
      <c r="D98" s="242"/>
      <c r="E98" s="242"/>
      <c r="F98" s="242"/>
      <c r="G98" s="242"/>
      <c r="H98" s="242"/>
      <c r="I98" s="242"/>
      <c r="J98" s="242"/>
      <c r="K98" s="242"/>
      <c r="L98" s="242"/>
      <c r="M98" s="242"/>
      <c r="N98" s="242"/>
      <c r="O98" s="242"/>
      <c r="P98" s="242"/>
      <c r="Q98" s="242"/>
    </row>
    <row r="99" spans="1:17">
      <c r="A99" s="179" t="s">
        <v>292</v>
      </c>
      <c r="C99" s="242" t="s">
        <v>439</v>
      </c>
      <c r="D99" s="242"/>
      <c r="E99" s="242"/>
      <c r="F99" s="242"/>
      <c r="G99" s="242"/>
      <c r="H99" s="242"/>
      <c r="I99" s="242"/>
      <c r="J99" s="242"/>
      <c r="K99" s="242"/>
      <c r="L99" s="242"/>
      <c r="M99" s="242"/>
      <c r="N99" s="242"/>
      <c r="O99" s="242"/>
      <c r="P99" s="242"/>
      <c r="Q99" s="242"/>
    </row>
    <row r="100" spans="1:17">
      <c r="A100" s="179" t="s">
        <v>294</v>
      </c>
      <c r="C100" s="242" t="s">
        <v>440</v>
      </c>
      <c r="D100" s="242"/>
      <c r="E100" s="242"/>
      <c r="F100" s="242"/>
      <c r="G100" s="242"/>
      <c r="H100" s="242"/>
      <c r="I100" s="242"/>
      <c r="J100" s="242"/>
      <c r="K100" s="242"/>
      <c r="L100" s="242"/>
      <c r="M100" s="242"/>
      <c r="N100" s="242"/>
      <c r="O100" s="242"/>
      <c r="P100" s="242"/>
      <c r="Q100" s="242"/>
    </row>
    <row r="101" spans="1:17">
      <c r="A101" s="179" t="s">
        <v>302</v>
      </c>
      <c r="C101" s="242" t="s">
        <v>441</v>
      </c>
      <c r="D101" s="242"/>
      <c r="E101" s="242"/>
      <c r="F101" s="242"/>
      <c r="G101" s="242"/>
      <c r="H101" s="242"/>
      <c r="I101" s="242"/>
      <c r="J101" s="242"/>
      <c r="K101" s="242"/>
      <c r="L101" s="242"/>
      <c r="M101" s="242"/>
      <c r="N101" s="242"/>
      <c r="O101" s="242"/>
      <c r="P101" s="242"/>
      <c r="Q101" s="242"/>
    </row>
    <row r="102" spans="1:17">
      <c r="A102" s="179" t="s">
        <v>304</v>
      </c>
      <c r="C102" s="151" t="s">
        <v>442</v>
      </c>
    </row>
    <row r="103" spans="1:17">
      <c r="A103" s="163" t="s">
        <v>306</v>
      </c>
      <c r="C103" s="243" t="s">
        <v>443</v>
      </c>
      <c r="D103" s="243"/>
      <c r="E103" s="243"/>
      <c r="F103" s="243"/>
      <c r="G103" s="243"/>
      <c r="H103" s="243"/>
      <c r="I103" s="243"/>
      <c r="J103" s="243"/>
      <c r="K103" s="243"/>
      <c r="L103" s="243"/>
      <c r="M103" s="243"/>
      <c r="N103" s="243"/>
      <c r="O103" s="243"/>
      <c r="P103" s="158"/>
      <c r="Q103" s="155"/>
    </row>
    <row r="104" spans="1:17">
      <c r="A104" s="163" t="s">
        <v>308</v>
      </c>
      <c r="C104" s="151" t="s">
        <v>444</v>
      </c>
      <c r="D104" s="163"/>
      <c r="E104" s="179"/>
      <c r="F104" s="179"/>
      <c r="G104" s="158"/>
      <c r="J104" s="177"/>
      <c r="P104" s="158"/>
      <c r="Q104" s="174"/>
    </row>
    <row r="105" spans="1:17">
      <c r="A105" s="179" t="s">
        <v>312</v>
      </c>
      <c r="C105" s="3" t="s">
        <v>445</v>
      </c>
    </row>
    <row r="106" spans="1:17">
      <c r="A106" s="179" t="s">
        <v>446</v>
      </c>
      <c r="C106" s="151" t="s">
        <v>447</v>
      </c>
    </row>
    <row r="107" spans="1:17">
      <c r="A107" s="179" t="s">
        <v>316</v>
      </c>
      <c r="C107" s="151" t="s">
        <v>448</v>
      </c>
    </row>
    <row r="108" spans="1:17">
      <c r="C108" s="151" t="s">
        <v>449</v>
      </c>
    </row>
    <row r="109" spans="1:17" ht="15.75">
      <c r="C109" s="244"/>
      <c r="D109" s="244"/>
      <c r="E109" s="244"/>
      <c r="F109" s="244"/>
      <c r="G109" s="244"/>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scale="41" fitToWidth="2" fitToHeight="2" orientation="landscape" verticalDpi="300" r:id="rId1"/>
  <rowBreaks count="1" manualBreakCount="1">
    <brk id="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E5614-BBE0-4E76-B7BC-76732555F07D}">
  <dimension ref="A1:K68"/>
  <sheetViews>
    <sheetView zoomScale="70" zoomScaleNormal="70" zoomScaleSheetLayoutView="75" workbookViewId="0">
      <selection activeCell="K38" sqref="K38"/>
    </sheetView>
  </sheetViews>
  <sheetFormatPr defaultRowHeight="15.75"/>
  <cols>
    <col min="1" max="1" width="5.5546875" style="245" customWidth="1"/>
    <col min="2" max="2" width="21.5546875" style="246" customWidth="1"/>
    <col min="3" max="3" width="32.44140625" style="246" customWidth="1"/>
    <col min="4" max="4" width="25.21875" style="246" customWidth="1"/>
    <col min="5" max="5" width="9.77734375" style="246" customWidth="1"/>
    <col min="6" max="6" width="6.5546875" style="246" customWidth="1"/>
    <col min="7" max="7" width="9" style="246" bestFit="1" customWidth="1"/>
    <col min="8" max="8" width="6.33203125" style="246" bestFit="1" customWidth="1"/>
    <col min="9" max="9" width="12.21875" style="246" customWidth="1"/>
    <col min="10" max="10" width="24.109375" style="257" bestFit="1" customWidth="1"/>
    <col min="11" max="11" width="12.5546875" customWidth="1"/>
  </cols>
  <sheetData>
    <row r="1" spans="1:11">
      <c r="C1" s="247"/>
      <c r="D1" s="247"/>
      <c r="E1" s="247"/>
      <c r="F1" s="248"/>
      <c r="G1" s="247"/>
      <c r="H1" s="247"/>
      <c r="I1" s="247"/>
      <c r="J1" s="249"/>
    </row>
    <row r="2" spans="1:11">
      <c r="B2" s="245"/>
      <c r="C2" s="247"/>
      <c r="D2" s="247"/>
      <c r="E2" s="247"/>
      <c r="F2" s="248"/>
      <c r="G2" s="247"/>
      <c r="H2" s="247"/>
      <c r="I2" s="247"/>
      <c r="J2" s="249"/>
    </row>
    <row r="3" spans="1:11">
      <c r="C3" s="247"/>
      <c r="D3" s="250" t="s">
        <v>11</v>
      </c>
      <c r="E3" s="250"/>
      <c r="F3" s="248" t="s">
        <v>450</v>
      </c>
      <c r="H3" s="250"/>
      <c r="I3" s="250"/>
      <c r="J3" s="247"/>
      <c r="K3" s="251" t="s">
        <v>451</v>
      </c>
    </row>
    <row r="4" spans="1:11">
      <c r="B4" s="252"/>
      <c r="C4" s="252"/>
      <c r="D4" s="252"/>
      <c r="E4" s="252"/>
      <c r="F4" s="253" t="s">
        <v>452</v>
      </c>
      <c r="H4" s="252"/>
      <c r="I4" s="252"/>
      <c r="J4" s="252"/>
      <c r="K4" s="254"/>
    </row>
    <row r="5" spans="1:11">
      <c r="B5" s="252"/>
      <c r="C5" s="252"/>
      <c r="D5" s="252"/>
      <c r="F5" s="255" t="str">
        <f>'Attachment H'!$D$5</f>
        <v>NextEra Energy Transmission MidAtlantic Indiana, Inc.</v>
      </c>
      <c r="H5" s="252"/>
      <c r="I5" s="252"/>
      <c r="J5" s="252"/>
      <c r="K5" s="252"/>
    </row>
    <row r="7" spans="1:11">
      <c r="A7" s="245">
        <v>1</v>
      </c>
      <c r="B7" s="246" t="s">
        <v>453</v>
      </c>
      <c r="C7" s="246" t="s">
        <v>454</v>
      </c>
      <c r="J7" s="246"/>
      <c r="K7" s="256">
        <f>+'Attachment H'!I106</f>
        <v>54998.665865384588</v>
      </c>
    </row>
    <row r="8" spans="1:11">
      <c r="J8" s="246"/>
      <c r="K8" s="257"/>
    </row>
    <row r="9" spans="1:11" ht="16.5" thickBot="1">
      <c r="A9" s="258">
        <f>+A7+1</f>
        <v>2</v>
      </c>
      <c r="B9" s="259" t="s">
        <v>455</v>
      </c>
      <c r="C9" s="260"/>
      <c r="D9" s="260"/>
      <c r="E9" s="260"/>
      <c r="F9" s="260"/>
      <c r="G9" s="260"/>
      <c r="H9" s="260"/>
      <c r="I9" s="260"/>
      <c r="J9" s="261" t="s">
        <v>220</v>
      </c>
      <c r="K9" s="257"/>
    </row>
    <row r="10" spans="1:11">
      <c r="A10" s="258"/>
      <c r="B10" s="262"/>
      <c r="C10" s="260"/>
      <c r="D10" s="260"/>
      <c r="E10" s="260"/>
      <c r="F10" s="260"/>
      <c r="G10" s="260"/>
      <c r="H10" s="263" t="s">
        <v>248</v>
      </c>
      <c r="I10" s="260"/>
      <c r="J10" s="260"/>
      <c r="K10" s="257"/>
    </row>
    <row r="11" spans="1:11" ht="16.5" thickBot="1">
      <c r="A11" s="258"/>
      <c r="B11" s="262"/>
      <c r="C11" s="260"/>
      <c r="D11" s="260"/>
      <c r="E11" s="264" t="s">
        <v>220</v>
      </c>
      <c r="F11" s="264" t="s">
        <v>249</v>
      </c>
      <c r="G11" s="260"/>
      <c r="H11" s="264"/>
      <c r="I11" s="260"/>
      <c r="J11" s="264" t="s">
        <v>250</v>
      </c>
      <c r="K11" s="257"/>
    </row>
    <row r="12" spans="1:11">
      <c r="A12" s="258">
        <f>+A9+1</f>
        <v>3</v>
      </c>
      <c r="B12" s="259" t="s">
        <v>251</v>
      </c>
      <c r="C12" s="265" t="s">
        <v>456</v>
      </c>
      <c r="D12" s="265"/>
      <c r="E12" s="266">
        <v>0</v>
      </c>
      <c r="F12" s="267">
        <v>0</v>
      </c>
      <c r="G12" s="268"/>
      <c r="H12" s="267">
        <v>0</v>
      </c>
      <c r="I12" s="268"/>
      <c r="J12" s="268">
        <f>F12*H12</f>
        <v>0</v>
      </c>
      <c r="K12" s="257"/>
    </row>
    <row r="13" spans="1:11">
      <c r="A13" s="258">
        <f>+A12+1</f>
        <v>4</v>
      </c>
      <c r="B13" s="259" t="s">
        <v>457</v>
      </c>
      <c r="C13" s="265" t="s">
        <v>456</v>
      </c>
      <c r="D13" s="265"/>
      <c r="E13" s="266">
        <v>0</v>
      </c>
      <c r="F13" s="267">
        <v>0</v>
      </c>
      <c r="G13" s="268"/>
      <c r="H13" s="268">
        <v>0</v>
      </c>
      <c r="I13" s="268"/>
      <c r="J13" s="268">
        <f>F13*H13</f>
        <v>0</v>
      </c>
      <c r="K13" s="257"/>
    </row>
    <row r="14" spans="1:11" ht="32.25" thickBot="1">
      <c r="A14" s="258">
        <f>+A13+1</f>
        <v>5</v>
      </c>
      <c r="B14" s="259" t="s">
        <v>256</v>
      </c>
      <c r="C14" s="265" t="s">
        <v>458</v>
      </c>
      <c r="D14" s="269" t="s">
        <v>459</v>
      </c>
      <c r="E14" s="270">
        <v>0</v>
      </c>
      <c r="F14" s="267">
        <v>0</v>
      </c>
      <c r="G14" s="268"/>
      <c r="H14" s="271">
        <f>+'Attachment H'!G212+0.01</f>
        <v>0.111</v>
      </c>
      <c r="I14" s="268"/>
      <c r="J14" s="272">
        <f>F14*H14</f>
        <v>0</v>
      </c>
      <c r="K14" s="257"/>
    </row>
    <row r="15" spans="1:11">
      <c r="A15" s="258">
        <f>+A14+1</f>
        <v>6</v>
      </c>
      <c r="B15" s="262" t="s">
        <v>460</v>
      </c>
      <c r="C15" s="265"/>
      <c r="D15" s="265"/>
      <c r="E15" s="273">
        <f>SUM(E12:E14)</f>
        <v>0</v>
      </c>
      <c r="F15" s="268" t="s">
        <v>11</v>
      </c>
      <c r="G15" s="268"/>
      <c r="H15" s="268"/>
      <c r="I15" s="268"/>
      <c r="J15" s="268">
        <f>SUM(J12:J14)</f>
        <v>0</v>
      </c>
      <c r="K15" s="257"/>
    </row>
    <row r="16" spans="1:11">
      <c r="A16" s="258">
        <f t="shared" ref="A16:A40" si="0">+A15+1</f>
        <v>7</v>
      </c>
      <c r="B16" s="262" t="s">
        <v>461</v>
      </c>
      <c r="C16" s="265"/>
      <c r="D16" s="265"/>
      <c r="E16" s="273"/>
      <c r="F16" s="260"/>
      <c r="G16" s="260"/>
      <c r="H16" s="260"/>
      <c r="I16" s="260"/>
      <c r="J16" s="268"/>
      <c r="K16" s="268">
        <f>+J15*K7</f>
        <v>0</v>
      </c>
    </row>
    <row r="17" spans="1:11">
      <c r="A17" s="258"/>
      <c r="J17" s="246"/>
      <c r="K17" s="257"/>
    </row>
    <row r="18" spans="1:11">
      <c r="A18" s="258">
        <f>+A16+1</f>
        <v>8</v>
      </c>
      <c r="B18" s="262" t="s">
        <v>176</v>
      </c>
      <c r="C18" s="260"/>
      <c r="D18" s="260"/>
      <c r="E18" s="260"/>
      <c r="F18" s="260"/>
      <c r="G18" s="265"/>
      <c r="H18" s="274"/>
      <c r="I18" s="260"/>
      <c r="J18" s="265"/>
      <c r="K18" s="257"/>
    </row>
    <row r="19" spans="1:11">
      <c r="A19" s="258">
        <f t="shared" si="0"/>
        <v>9</v>
      </c>
      <c r="B19" s="275" t="s">
        <v>462</v>
      </c>
      <c r="C19" s="260"/>
      <c r="D19" s="11"/>
      <c r="E19" s="276">
        <f>IF('Attachment H'!D252&gt;0,1-(((1-'Attachment H'!D253)*(1-'Attachment H'!D252))/(1-'Attachment H'!D252*'Attachment H'!D253*'Attachment H'!D254)),0)</f>
        <v>0.251475</v>
      </c>
      <c r="F19" s="276"/>
      <c r="G19" s="265"/>
      <c r="H19" s="274"/>
      <c r="I19" s="260"/>
      <c r="J19" s="265"/>
      <c r="K19" s="257"/>
    </row>
    <row r="20" spans="1:11">
      <c r="A20" s="258">
        <f t="shared" si="0"/>
        <v>10</v>
      </c>
      <c r="B20" s="265" t="s">
        <v>179</v>
      </c>
      <c r="C20" s="260"/>
      <c r="D20" s="11"/>
      <c r="E20" s="276">
        <f>IF(J15&gt;0,(E19/(1-E19))*(1-J12/J15),0)</f>
        <v>0</v>
      </c>
      <c r="F20" s="260"/>
      <c r="G20" s="265"/>
      <c r="H20" s="274"/>
      <c r="I20" s="260"/>
      <c r="J20" s="265"/>
      <c r="K20" s="257"/>
    </row>
    <row r="21" spans="1:11">
      <c r="A21" s="258">
        <f t="shared" si="0"/>
        <v>11</v>
      </c>
      <c r="B21" s="260" t="s">
        <v>463</v>
      </c>
      <c r="C21" s="260"/>
      <c r="D21" s="11"/>
      <c r="E21" s="260"/>
      <c r="F21" s="260"/>
      <c r="G21" s="265"/>
      <c r="H21" s="274"/>
      <c r="I21" s="260"/>
      <c r="J21" s="265"/>
      <c r="K21" s="257"/>
    </row>
    <row r="22" spans="1:11">
      <c r="A22" s="258">
        <f t="shared" si="0"/>
        <v>12</v>
      </c>
      <c r="B22" s="262" t="s">
        <v>464</v>
      </c>
      <c r="C22" s="260"/>
      <c r="D22" s="260"/>
      <c r="E22" s="260"/>
      <c r="F22" s="260"/>
      <c r="G22" s="265"/>
      <c r="H22" s="274"/>
      <c r="I22" s="260"/>
      <c r="J22" s="265"/>
      <c r="K22" s="257"/>
    </row>
    <row r="23" spans="1:11">
      <c r="A23" s="258">
        <f t="shared" si="0"/>
        <v>13</v>
      </c>
      <c r="B23" s="275" t="str">
        <f>"      1 / (1 - T)  =  (from line "&amp;A19&amp;")"</f>
        <v xml:space="preserve">      1 / (1 - T)  =  (from line 9)</v>
      </c>
      <c r="C23" s="260"/>
      <c r="D23" s="260"/>
      <c r="E23" s="276">
        <f>IF(E19&gt;0,1/(1-E19),0)</f>
        <v>1.335960722754751</v>
      </c>
      <c r="F23" s="260"/>
      <c r="G23" s="265"/>
      <c r="H23" s="274"/>
      <c r="I23" s="260"/>
      <c r="J23" s="265"/>
      <c r="K23" s="257"/>
    </row>
    <row r="24" spans="1:11">
      <c r="A24" s="258">
        <f t="shared" si="0"/>
        <v>14</v>
      </c>
      <c r="B24" s="262" t="s">
        <v>465</v>
      </c>
      <c r="C24" s="260"/>
      <c r="D24" s="260" t="s">
        <v>466</v>
      </c>
      <c r="E24" s="277">
        <f>+'Attachment H'!D160</f>
        <v>0</v>
      </c>
      <c r="F24" s="260"/>
      <c r="G24" s="265"/>
      <c r="H24" s="274"/>
      <c r="I24" s="260"/>
      <c r="J24" s="265"/>
      <c r="K24" s="257"/>
    </row>
    <row r="25" spans="1:11">
      <c r="A25" s="258">
        <f t="shared" si="0"/>
        <v>15</v>
      </c>
      <c r="B25" s="262" t="s">
        <v>467</v>
      </c>
      <c r="C25" s="260"/>
      <c r="D25" s="260" t="s">
        <v>468</v>
      </c>
      <c r="E25" s="277">
        <f>+'Attachment H'!D161</f>
        <v>0</v>
      </c>
      <c r="F25" s="260"/>
      <c r="G25" s="265"/>
      <c r="H25" s="256"/>
      <c r="I25" s="260"/>
      <c r="J25" s="265"/>
      <c r="K25" s="257"/>
    </row>
    <row r="26" spans="1:11">
      <c r="A26" s="258">
        <f t="shared" si="0"/>
        <v>16</v>
      </c>
      <c r="B26" s="262" t="s">
        <v>469</v>
      </c>
      <c r="C26" s="260"/>
      <c r="D26" s="260" t="s">
        <v>470</v>
      </c>
      <c r="E26" s="277">
        <f>+'Attachment H'!D162</f>
        <v>0</v>
      </c>
      <c r="F26" s="260"/>
      <c r="G26" s="265"/>
      <c r="H26" s="274"/>
      <c r="I26" s="260"/>
      <c r="J26" s="265"/>
      <c r="K26" s="257"/>
    </row>
    <row r="27" spans="1:11">
      <c r="A27" s="258">
        <f t="shared" si="0"/>
        <v>17</v>
      </c>
      <c r="B27" s="275" t="str">
        <f>"Income Tax Calculation = line "&amp;A20&amp;" * line "&amp;A16&amp;""</f>
        <v>Income Tax Calculation = line 10 * line 7</v>
      </c>
      <c r="C27" s="278"/>
      <c r="E27" s="277">
        <f>+E20*K33</f>
        <v>0</v>
      </c>
      <c r="F27" s="279"/>
      <c r="G27" s="279" t="s">
        <v>50</v>
      </c>
      <c r="H27" s="280"/>
      <c r="I27" s="279"/>
      <c r="J27" s="277">
        <f>+E20*K16</f>
        <v>0</v>
      </c>
      <c r="K27" s="257"/>
    </row>
    <row r="28" spans="1:11">
      <c r="A28" s="258">
        <f t="shared" si="0"/>
        <v>18</v>
      </c>
      <c r="B28" s="265" t="str">
        <f>"ITC adjustment (line "&amp;A23&amp;" * line "&amp;A24&amp;")"</f>
        <v>ITC adjustment (line 13 * line 14)</v>
      </c>
      <c r="C28" s="278"/>
      <c r="D28" s="278"/>
      <c r="E28" s="277">
        <f>+E$23*E24</f>
        <v>0</v>
      </c>
      <c r="F28" s="279"/>
      <c r="G28" s="281" t="s">
        <v>83</v>
      </c>
      <c r="H28" s="268">
        <f>+'Attachment H'!G84</f>
        <v>1</v>
      </c>
      <c r="I28" s="279"/>
      <c r="J28" s="277">
        <f>+E28*H28</f>
        <v>0</v>
      </c>
      <c r="K28" s="257"/>
    </row>
    <row r="29" spans="1:11">
      <c r="A29" s="258">
        <f t="shared" si="0"/>
        <v>19</v>
      </c>
      <c r="B29" s="265" t="str">
        <f>"Excess Deferred Income Tax Adjustment (line "&amp;A23&amp;" * line "&amp;A25&amp;")"</f>
        <v>Excess Deferred Income Tax Adjustment (line 13 * line 15)</v>
      </c>
      <c r="C29" s="278"/>
      <c r="D29" s="278"/>
      <c r="E29" s="277">
        <f>+E$23*E25</f>
        <v>0</v>
      </c>
      <c r="F29" s="279"/>
      <c r="G29" s="281" t="s">
        <v>83</v>
      </c>
      <c r="H29" s="268">
        <f>H28</f>
        <v>1</v>
      </c>
      <c r="I29" s="279"/>
      <c r="J29" s="277">
        <f>+E29*H29</f>
        <v>0</v>
      </c>
      <c r="K29" s="257"/>
    </row>
    <row r="30" spans="1:11">
      <c r="A30" s="258">
        <f t="shared" si="0"/>
        <v>20</v>
      </c>
      <c r="B30" s="265" t="str">
        <f>"Permanent Differences Tax Adjustment (line "&amp;A23&amp;" * "&amp;A26&amp;")"</f>
        <v>Permanent Differences Tax Adjustment (line 13 * 16)</v>
      </c>
      <c r="C30" s="278"/>
      <c r="D30" s="278"/>
      <c r="E30" s="282">
        <f>+E$23*E26</f>
        <v>0</v>
      </c>
      <c r="F30" s="279"/>
      <c r="G30" s="281" t="s">
        <v>83</v>
      </c>
      <c r="H30" s="268">
        <f>H29</f>
        <v>1</v>
      </c>
      <c r="I30" s="279"/>
      <c r="J30" s="282">
        <f>+E30*H30</f>
        <v>0</v>
      </c>
      <c r="K30" s="257"/>
    </row>
    <row r="31" spans="1:11">
      <c r="A31" s="258">
        <f t="shared" si="0"/>
        <v>21</v>
      </c>
      <c r="B31" s="283" t="str">
        <f>"Total Income Taxes (sum lines "&amp;A27&amp;" - "&amp;A30&amp;")"</f>
        <v>Total Income Taxes (sum lines 17 - 20)</v>
      </c>
      <c r="C31" s="265"/>
      <c r="D31" s="265"/>
      <c r="E31" s="277">
        <f>SUM(E27:E30)</f>
        <v>0</v>
      </c>
      <c r="F31" s="279"/>
      <c r="G31" s="279" t="s">
        <v>11</v>
      </c>
      <c r="H31" s="280" t="s">
        <v>11</v>
      </c>
      <c r="I31" s="279"/>
      <c r="J31" s="277">
        <f>SUM(J27:J30)</f>
        <v>0</v>
      </c>
      <c r="K31" s="268">
        <f>+J31</f>
        <v>0</v>
      </c>
    </row>
    <row r="32" spans="1:11">
      <c r="A32" s="258"/>
      <c r="J32" s="246"/>
      <c r="K32" s="257"/>
    </row>
    <row r="33" spans="1:11">
      <c r="A33" s="258">
        <f>+A31+1</f>
        <v>22</v>
      </c>
      <c r="B33" s="265" t="s">
        <v>471</v>
      </c>
      <c r="D33" s="246" t="s">
        <v>472</v>
      </c>
      <c r="J33" s="246"/>
      <c r="K33" s="268">
        <f>+K31+K16</f>
        <v>0</v>
      </c>
    </row>
    <row r="34" spans="1:11">
      <c r="A34" s="258"/>
      <c r="J34" s="246"/>
      <c r="K34" s="257"/>
    </row>
    <row r="35" spans="1:11">
      <c r="A35" s="258">
        <f>+A33+1</f>
        <v>23</v>
      </c>
      <c r="B35" s="246" t="s">
        <v>473</v>
      </c>
      <c r="J35" s="246"/>
      <c r="K35" s="268">
        <f>+'Attachment H'!I170</f>
        <v>4155.6991927884592</v>
      </c>
    </row>
    <row r="36" spans="1:11">
      <c r="A36" s="258">
        <f t="shared" si="0"/>
        <v>24</v>
      </c>
      <c r="B36" s="246" t="s">
        <v>474</v>
      </c>
      <c r="J36" s="246"/>
      <c r="K36" s="268">
        <f>+'Attachment H'!I167</f>
        <v>1119.7299270017086</v>
      </c>
    </row>
    <row r="37" spans="1:11">
      <c r="A37" s="258">
        <f t="shared" si="0"/>
        <v>25</v>
      </c>
      <c r="B37" s="265" t="s">
        <v>475</v>
      </c>
      <c r="D37" s="246" t="s">
        <v>476</v>
      </c>
      <c r="J37" s="246"/>
      <c r="K37" s="284">
        <f>SUM(K35:K36)</f>
        <v>5275.4291197901675</v>
      </c>
    </row>
    <row r="38" spans="1:11">
      <c r="A38" s="258">
        <f t="shared" si="0"/>
        <v>26</v>
      </c>
      <c r="B38" s="265" t="s">
        <v>477</v>
      </c>
      <c r="D38" s="246" t="s">
        <v>478</v>
      </c>
      <c r="J38" s="246"/>
      <c r="K38" s="268">
        <f>+K33-K37</f>
        <v>-5275.4291197901675</v>
      </c>
    </row>
    <row r="39" spans="1:11">
      <c r="A39" s="258">
        <f t="shared" si="0"/>
        <v>27</v>
      </c>
      <c r="B39" s="246" t="s">
        <v>479</v>
      </c>
      <c r="J39" s="246"/>
      <c r="K39" s="285">
        <f>+K7</f>
        <v>54998.665865384588</v>
      </c>
    </row>
    <row r="40" spans="1:11">
      <c r="A40" s="258">
        <f t="shared" si="0"/>
        <v>28</v>
      </c>
      <c r="B40" s="246" t="s">
        <v>480</v>
      </c>
      <c r="E40" s="246" t="s">
        <v>481</v>
      </c>
      <c r="J40" s="246"/>
      <c r="K40" s="286">
        <f>IF(K39=0,0,K38/K39)</f>
        <v>-9.5919219798937902E-2</v>
      </c>
    </row>
    <row r="41" spans="1:11">
      <c r="J41" s="246"/>
      <c r="K41" s="257"/>
    </row>
    <row r="42" spans="1:11">
      <c r="A42" s="245" t="s">
        <v>482</v>
      </c>
      <c r="J42" s="246"/>
      <c r="K42" s="257"/>
    </row>
    <row r="43" spans="1:11">
      <c r="A43" s="287" t="s">
        <v>431</v>
      </c>
      <c r="B43" s="256" t="s">
        <v>483</v>
      </c>
      <c r="J43" s="246"/>
      <c r="K43" s="257"/>
    </row>
    <row r="44" spans="1:11">
      <c r="A44" s="287"/>
      <c r="B44" s="246" t="s">
        <v>484</v>
      </c>
      <c r="J44" s="246"/>
      <c r="K44" s="257"/>
    </row>
    <row r="45" spans="1:11">
      <c r="A45" s="287"/>
      <c r="B45" s="246" t="s">
        <v>485</v>
      </c>
      <c r="J45" s="246"/>
      <c r="K45" s="257"/>
    </row>
    <row r="46" spans="1:11">
      <c r="A46" s="287"/>
      <c r="B46" s="246" t="s">
        <v>486</v>
      </c>
      <c r="J46" s="246"/>
      <c r="K46" s="257"/>
    </row>
    <row r="47" spans="1:11">
      <c r="A47" s="287" t="s">
        <v>433</v>
      </c>
      <c r="B47" s="246" t="s">
        <v>487</v>
      </c>
      <c r="J47" s="246"/>
      <c r="K47" s="257"/>
    </row>
    <row r="48" spans="1:11">
      <c r="B48" s="246" t="s">
        <v>488</v>
      </c>
      <c r="J48" s="246"/>
      <c r="K48" s="257"/>
    </row>
    <row r="68" ht="24" customHeight="1"/>
  </sheetData>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7247-3857-4243-BA40-AB0EB75E37CD}">
  <sheetPr>
    <pageSetUpPr fitToPage="1"/>
  </sheetPr>
  <dimension ref="A1:M68"/>
  <sheetViews>
    <sheetView zoomScale="65" zoomScaleNormal="65" zoomScaleSheetLayoutView="75" workbookViewId="0">
      <selection activeCell="D253" sqref="D253"/>
    </sheetView>
  </sheetViews>
  <sheetFormatPr defaultColWidth="8.77734375" defaultRowHeight="12.75"/>
  <cols>
    <col min="1" max="1" width="6" style="151" customWidth="1"/>
    <col min="2" max="2" width="27.109375" style="151" customWidth="1"/>
    <col min="3" max="3" width="11.21875" style="151" customWidth="1"/>
    <col min="4" max="4" width="18.77734375" style="151" customWidth="1"/>
    <col min="5" max="5" width="22.21875" style="151" customWidth="1"/>
    <col min="6" max="6" width="15.21875" style="151" customWidth="1"/>
    <col min="7" max="7" width="18.21875" style="151" customWidth="1"/>
    <col min="8" max="8" width="14.44140625" style="151" customWidth="1"/>
    <col min="9" max="9" width="18.5546875" style="151" customWidth="1"/>
    <col min="10" max="10" width="13.77734375" style="151" customWidth="1"/>
    <col min="11" max="11" width="14.44140625" style="151" customWidth="1"/>
    <col min="12" max="12" width="13.5546875" style="151" customWidth="1"/>
    <col min="13" max="16384" width="8.77734375" style="151"/>
  </cols>
  <sheetData>
    <row r="1" spans="1:13">
      <c r="J1" s="153" t="s">
        <v>451</v>
      </c>
    </row>
    <row r="5" spans="1:13">
      <c r="A5" s="288"/>
      <c r="D5" s="153"/>
      <c r="E5" s="154" t="s">
        <v>489</v>
      </c>
      <c r="F5" s="153"/>
      <c r="G5" s="153"/>
      <c r="I5" s="153"/>
      <c r="J5" s="153"/>
      <c r="K5" s="153"/>
      <c r="L5" s="153"/>
    </row>
    <row r="6" spans="1:13">
      <c r="A6" s="288"/>
      <c r="D6" s="153"/>
      <c r="E6" s="289" t="s">
        <v>490</v>
      </c>
      <c r="F6" s="158"/>
      <c r="G6" s="158"/>
      <c r="I6" s="158"/>
      <c r="J6" s="158"/>
      <c r="K6" s="158"/>
      <c r="L6" s="153"/>
    </row>
    <row r="7" spans="1:13">
      <c r="A7" s="288"/>
      <c r="C7" s="156"/>
      <c r="D7" s="156"/>
      <c r="E7" s="50" t="str">
        <f>'Attachment H'!$D$5</f>
        <v>NextEra Energy Transmission MidAtlantic Indiana, Inc.</v>
      </c>
      <c r="F7" s="156"/>
      <c r="G7" s="156"/>
      <c r="I7" s="156"/>
      <c r="J7" s="156"/>
      <c r="K7" s="156"/>
      <c r="L7" s="156"/>
    </row>
    <row r="8" spans="1:13" s="291" customFormat="1">
      <c r="A8" s="290"/>
      <c r="B8" s="151"/>
      <c r="C8" s="151"/>
      <c r="D8" s="151"/>
      <c r="E8" s="168"/>
      <c r="F8" s="168"/>
      <c r="G8" s="168"/>
      <c r="H8" s="151"/>
      <c r="I8" s="156"/>
      <c r="J8" s="156"/>
      <c r="K8" s="156"/>
      <c r="L8" s="156"/>
    </row>
    <row r="9" spans="1:13" s="291" customFormat="1">
      <c r="A9" s="288"/>
      <c r="B9" s="3"/>
      <c r="C9" s="3"/>
      <c r="D9" s="3"/>
      <c r="E9" s="3"/>
      <c r="F9" s="3"/>
      <c r="G9" s="3"/>
      <c r="H9" s="3"/>
      <c r="I9" s="3"/>
      <c r="J9" s="3"/>
      <c r="K9" s="292"/>
      <c r="L9" s="3"/>
    </row>
    <row r="10" spans="1:13" s="291" customFormat="1">
      <c r="A10" s="288"/>
      <c r="B10" s="3"/>
      <c r="C10" s="3"/>
      <c r="D10" s="293" t="s">
        <v>491</v>
      </c>
      <c r="E10" s="294"/>
      <c r="F10" s="295"/>
      <c r="G10" s="296" t="s">
        <v>492</v>
      </c>
      <c r="H10" s="295"/>
      <c r="I10" s="297"/>
      <c r="J10" s="297"/>
      <c r="K10" s="298"/>
    </row>
    <row r="11" spans="1:13" s="291" customFormat="1" ht="15.75">
      <c r="A11" s="288">
        <v>1</v>
      </c>
      <c r="B11" s="3" t="s">
        <v>493</v>
      </c>
      <c r="C11" s="3"/>
      <c r="D11" s="299" t="s">
        <v>494</v>
      </c>
      <c r="E11" s="300"/>
      <c r="F11" s="301" t="s">
        <v>495</v>
      </c>
      <c r="G11" s="302" t="s">
        <v>496</v>
      </c>
      <c r="H11" s="301" t="s">
        <v>497</v>
      </c>
      <c r="I11" s="303"/>
      <c r="J11" s="303"/>
      <c r="K11" s="304"/>
    </row>
    <row r="12" spans="1:13" s="291" customFormat="1">
      <c r="A12" s="288">
        <v>2</v>
      </c>
      <c r="B12" s="305"/>
      <c r="C12" s="3"/>
      <c r="D12" s="306"/>
      <c r="E12" s="306"/>
      <c r="F12" s="307">
        <v>0</v>
      </c>
      <c r="G12" s="308"/>
      <c r="H12" s="306"/>
      <c r="I12" s="306"/>
      <c r="J12" s="306"/>
      <c r="K12" s="295"/>
    </row>
    <row r="13" spans="1:13" s="291" customFormat="1">
      <c r="B13" s="309" t="s">
        <v>431</v>
      </c>
      <c r="C13" s="309" t="s">
        <v>433</v>
      </c>
      <c r="D13" s="302" t="s">
        <v>286</v>
      </c>
      <c r="E13" s="302" t="s">
        <v>288</v>
      </c>
      <c r="F13" s="296" t="s">
        <v>290</v>
      </c>
      <c r="G13" s="309" t="s">
        <v>292</v>
      </c>
      <c r="H13" s="310" t="s">
        <v>294</v>
      </c>
      <c r="I13" s="310" t="s">
        <v>302</v>
      </c>
      <c r="J13" s="310" t="s">
        <v>304</v>
      </c>
      <c r="K13" s="311" t="s">
        <v>306</v>
      </c>
      <c r="M13" s="292"/>
    </row>
    <row r="14" spans="1:13" s="291" customFormat="1">
      <c r="A14" s="288"/>
      <c r="B14" s="306"/>
      <c r="C14" s="296"/>
      <c r="D14" s="296"/>
      <c r="E14" s="312" t="s">
        <v>498</v>
      </c>
      <c r="F14" s="296"/>
      <c r="G14" s="296"/>
      <c r="H14" s="306"/>
      <c r="I14" s="296"/>
      <c r="J14" s="306"/>
      <c r="K14" s="306"/>
    </row>
    <row r="15" spans="1:13" s="291" customFormat="1">
      <c r="A15" s="288"/>
      <c r="B15" s="308"/>
      <c r="C15" s="310"/>
      <c r="D15" s="310" t="s">
        <v>499</v>
      </c>
      <c r="E15" s="311" t="s">
        <v>22</v>
      </c>
      <c r="F15" s="310" t="s">
        <v>500</v>
      </c>
      <c r="G15" s="310" t="s">
        <v>501</v>
      </c>
      <c r="H15" s="310" t="s">
        <v>502</v>
      </c>
      <c r="I15" s="310"/>
      <c r="J15" s="310" t="s">
        <v>503</v>
      </c>
      <c r="K15" s="310"/>
    </row>
    <row r="16" spans="1:13" s="291" customFormat="1">
      <c r="A16" s="288"/>
      <c r="B16" s="310" t="s">
        <v>504</v>
      </c>
      <c r="C16" s="310"/>
      <c r="D16" s="310" t="s">
        <v>505</v>
      </c>
      <c r="E16" s="311" t="s">
        <v>506</v>
      </c>
      <c r="F16" s="310" t="s">
        <v>507</v>
      </c>
      <c r="G16" s="310" t="s">
        <v>505</v>
      </c>
      <c r="H16" s="310" t="s">
        <v>508</v>
      </c>
      <c r="I16" s="296" t="s">
        <v>509</v>
      </c>
      <c r="J16" s="310" t="s">
        <v>510</v>
      </c>
      <c r="K16" s="310" t="s">
        <v>511</v>
      </c>
    </row>
    <row r="17" spans="1:11" s="291" customFormat="1" ht="15.75">
      <c r="A17" s="288"/>
      <c r="B17" s="302" t="s">
        <v>512</v>
      </c>
      <c r="C17" s="302" t="s">
        <v>513</v>
      </c>
      <c r="D17" s="302" t="s">
        <v>514</v>
      </c>
      <c r="E17" s="311" t="s">
        <v>496</v>
      </c>
      <c r="F17" s="313" t="s">
        <v>515</v>
      </c>
      <c r="G17" s="302" t="s">
        <v>516</v>
      </c>
      <c r="H17" s="302" t="s">
        <v>517</v>
      </c>
      <c r="I17" s="310" t="s">
        <v>518</v>
      </c>
      <c r="J17" s="302" t="s">
        <v>519</v>
      </c>
      <c r="K17" s="302" t="s">
        <v>520</v>
      </c>
    </row>
    <row r="18" spans="1:11" s="291" customFormat="1">
      <c r="A18" s="288">
        <v>3</v>
      </c>
      <c r="B18" s="308" t="s">
        <v>1</v>
      </c>
      <c r="C18" s="308"/>
      <c r="D18" s="314">
        <v>0</v>
      </c>
      <c r="E18" s="315">
        <f>IF(D$39=0,0,D18/D$39)</f>
        <v>0</v>
      </c>
      <c r="F18" s="316">
        <f>IF(F$12=0,0,#REF!*F$12)</f>
        <v>0</v>
      </c>
      <c r="G18" s="317">
        <v>0</v>
      </c>
      <c r="H18" s="318">
        <f t="shared" ref="H18:H37" si="0">+G18-F18</f>
        <v>0</v>
      </c>
      <c r="I18" s="319">
        <v>0</v>
      </c>
      <c r="J18" s="318">
        <f t="shared" ref="J18:J37" si="1">(H18+I18)*((J$41/12)*24)</f>
        <v>0</v>
      </c>
      <c r="K18" s="318">
        <f>+H18+J18+I18</f>
        <v>0</v>
      </c>
    </row>
    <row r="19" spans="1:11" s="291" customFormat="1">
      <c r="A19" s="288" t="s">
        <v>521</v>
      </c>
      <c r="B19" s="320"/>
      <c r="C19" s="320"/>
      <c r="D19" s="321">
        <v>0</v>
      </c>
      <c r="E19" s="222">
        <f t="shared" ref="E19:E37" si="2">IF(D$39=0,0,D19/D$39)</f>
        <v>0</v>
      </c>
      <c r="F19" s="316">
        <f>IF(F$12=0,0,#REF!*F$12)</f>
        <v>0</v>
      </c>
      <c r="G19" s="322">
        <v>0</v>
      </c>
      <c r="H19" s="222">
        <f t="shared" si="0"/>
        <v>0</v>
      </c>
      <c r="I19" s="323">
        <v>0</v>
      </c>
      <c r="J19" s="318">
        <f t="shared" si="1"/>
        <v>0</v>
      </c>
      <c r="K19" s="318">
        <f t="shared" ref="K19:K37" si="3">+H19+J19+I19</f>
        <v>0</v>
      </c>
    </row>
    <row r="20" spans="1:11" s="291" customFormat="1">
      <c r="A20" s="288" t="s">
        <v>522</v>
      </c>
      <c r="B20" s="320"/>
      <c r="C20" s="320"/>
      <c r="D20" s="321">
        <v>0</v>
      </c>
      <c r="E20" s="222">
        <f t="shared" si="2"/>
        <v>0</v>
      </c>
      <c r="F20" s="316">
        <f>IF(F$12=0,0,#REF!*F$12)</f>
        <v>0</v>
      </c>
      <c r="G20" s="322">
        <v>0</v>
      </c>
      <c r="H20" s="222">
        <f t="shared" si="0"/>
        <v>0</v>
      </c>
      <c r="I20" s="323">
        <v>0</v>
      </c>
      <c r="J20" s="318">
        <f t="shared" si="1"/>
        <v>0</v>
      </c>
      <c r="K20" s="318">
        <f t="shared" si="3"/>
        <v>0</v>
      </c>
    </row>
    <row r="21" spans="1:11" s="291" customFormat="1">
      <c r="A21" s="288" t="s">
        <v>523</v>
      </c>
      <c r="B21" s="320"/>
      <c r="C21" s="320"/>
      <c r="D21" s="321">
        <v>0</v>
      </c>
      <c r="E21" s="222">
        <f t="shared" si="2"/>
        <v>0</v>
      </c>
      <c r="F21" s="316">
        <f>IF(F$12=0,0,#REF!*F$12)</f>
        <v>0</v>
      </c>
      <c r="G21" s="322">
        <v>0</v>
      </c>
      <c r="H21" s="222">
        <f t="shared" si="0"/>
        <v>0</v>
      </c>
      <c r="I21" s="323">
        <v>0</v>
      </c>
      <c r="J21" s="318">
        <f t="shared" si="1"/>
        <v>0</v>
      </c>
      <c r="K21" s="318">
        <f t="shared" si="3"/>
        <v>0</v>
      </c>
    </row>
    <row r="22" spans="1:11" s="291" customFormat="1">
      <c r="A22" s="288"/>
      <c r="B22" s="320"/>
      <c r="C22" s="320"/>
      <c r="D22" s="321">
        <v>0</v>
      </c>
      <c r="E22" s="222">
        <f t="shared" si="2"/>
        <v>0</v>
      </c>
      <c r="F22" s="316">
        <f>IF(F$12=0,0,#REF!*F$12)</f>
        <v>0</v>
      </c>
      <c r="G22" s="322">
        <v>0</v>
      </c>
      <c r="H22" s="222">
        <f t="shared" si="0"/>
        <v>0</v>
      </c>
      <c r="I22" s="323">
        <v>0</v>
      </c>
      <c r="J22" s="318">
        <f t="shared" si="1"/>
        <v>0</v>
      </c>
      <c r="K22" s="318">
        <f t="shared" si="3"/>
        <v>0</v>
      </c>
    </row>
    <row r="23" spans="1:11" s="291" customFormat="1">
      <c r="A23" s="288"/>
      <c r="B23" s="320"/>
      <c r="C23" s="320"/>
      <c r="D23" s="321">
        <v>0</v>
      </c>
      <c r="E23" s="222">
        <f t="shared" si="2"/>
        <v>0</v>
      </c>
      <c r="F23" s="316">
        <f>IF(F$12=0,0,#REF!*F$12)</f>
        <v>0</v>
      </c>
      <c r="G23" s="322">
        <v>0</v>
      </c>
      <c r="H23" s="222">
        <f t="shared" si="0"/>
        <v>0</v>
      </c>
      <c r="I23" s="323">
        <v>0</v>
      </c>
      <c r="J23" s="318">
        <f t="shared" si="1"/>
        <v>0</v>
      </c>
      <c r="K23" s="318">
        <f t="shared" si="3"/>
        <v>0</v>
      </c>
    </row>
    <row r="24" spans="1:11" s="291" customFormat="1">
      <c r="A24" s="288"/>
      <c r="B24" s="320"/>
      <c r="C24" s="320"/>
      <c r="D24" s="321">
        <v>0</v>
      </c>
      <c r="E24" s="222">
        <f t="shared" si="2"/>
        <v>0</v>
      </c>
      <c r="F24" s="316">
        <f>IF(F$12=0,0,#REF!*F$12)</f>
        <v>0</v>
      </c>
      <c r="G24" s="322">
        <v>0</v>
      </c>
      <c r="H24" s="222">
        <f t="shared" si="0"/>
        <v>0</v>
      </c>
      <c r="I24" s="323">
        <v>0</v>
      </c>
      <c r="J24" s="318">
        <f t="shared" si="1"/>
        <v>0</v>
      </c>
      <c r="K24" s="318">
        <f t="shared" si="3"/>
        <v>0</v>
      </c>
    </row>
    <row r="25" spans="1:11">
      <c r="A25" s="288"/>
      <c r="B25" s="320"/>
      <c r="C25" s="320"/>
      <c r="D25" s="321">
        <v>0</v>
      </c>
      <c r="E25" s="222">
        <f t="shared" si="2"/>
        <v>0</v>
      </c>
      <c r="F25" s="316">
        <f>IF(F$12=0,0,#REF!*F$12)</f>
        <v>0</v>
      </c>
      <c r="G25" s="322">
        <v>0</v>
      </c>
      <c r="H25" s="222">
        <f t="shared" si="0"/>
        <v>0</v>
      </c>
      <c r="I25" s="323">
        <v>0</v>
      </c>
      <c r="J25" s="318">
        <f t="shared" si="1"/>
        <v>0</v>
      </c>
      <c r="K25" s="318">
        <f t="shared" si="3"/>
        <v>0</v>
      </c>
    </row>
    <row r="26" spans="1:11">
      <c r="A26" s="288"/>
      <c r="B26" s="320"/>
      <c r="C26" s="320"/>
      <c r="D26" s="321">
        <v>0</v>
      </c>
      <c r="E26" s="222">
        <f t="shared" si="2"/>
        <v>0</v>
      </c>
      <c r="F26" s="316">
        <f>IF(F$12=0,0,#REF!*F$12)</f>
        <v>0</v>
      </c>
      <c r="G26" s="322">
        <v>0</v>
      </c>
      <c r="H26" s="222">
        <f t="shared" si="0"/>
        <v>0</v>
      </c>
      <c r="I26" s="323">
        <v>0</v>
      </c>
      <c r="J26" s="318">
        <f t="shared" si="1"/>
        <v>0</v>
      </c>
      <c r="K26" s="318">
        <f t="shared" si="3"/>
        <v>0</v>
      </c>
    </row>
    <row r="27" spans="1:11">
      <c r="A27" s="288"/>
      <c r="B27" s="320"/>
      <c r="C27" s="320"/>
      <c r="D27" s="321">
        <v>0</v>
      </c>
      <c r="E27" s="222">
        <f t="shared" si="2"/>
        <v>0</v>
      </c>
      <c r="F27" s="316">
        <f>IF(F$12=0,0,#REF!*F$12)</f>
        <v>0</v>
      </c>
      <c r="G27" s="322">
        <v>0</v>
      </c>
      <c r="H27" s="222">
        <f t="shared" si="0"/>
        <v>0</v>
      </c>
      <c r="I27" s="323">
        <v>0</v>
      </c>
      <c r="J27" s="318">
        <f t="shared" si="1"/>
        <v>0</v>
      </c>
      <c r="K27" s="318">
        <f t="shared" si="3"/>
        <v>0</v>
      </c>
    </row>
    <row r="28" spans="1:11" ht="12.75" customHeight="1">
      <c r="A28" s="288"/>
      <c r="B28" s="320"/>
      <c r="C28" s="320"/>
      <c r="D28" s="321">
        <v>0</v>
      </c>
      <c r="E28" s="222">
        <f t="shared" si="2"/>
        <v>0</v>
      </c>
      <c r="F28" s="316">
        <f>IF(F$12=0,0,#REF!*F$12)</f>
        <v>0</v>
      </c>
      <c r="G28" s="322">
        <v>0</v>
      </c>
      <c r="H28" s="222">
        <f t="shared" si="0"/>
        <v>0</v>
      </c>
      <c r="I28" s="323">
        <v>0</v>
      </c>
      <c r="J28" s="318">
        <f t="shared" si="1"/>
        <v>0</v>
      </c>
      <c r="K28" s="318">
        <f t="shared" si="3"/>
        <v>0</v>
      </c>
    </row>
    <row r="29" spans="1:11">
      <c r="A29" s="288"/>
      <c r="B29" s="320"/>
      <c r="C29" s="320"/>
      <c r="D29" s="321">
        <v>0</v>
      </c>
      <c r="E29" s="222">
        <f t="shared" si="2"/>
        <v>0</v>
      </c>
      <c r="F29" s="316">
        <f>IF(F$12=0,0,#REF!*F$12)</f>
        <v>0</v>
      </c>
      <c r="G29" s="322">
        <v>0</v>
      </c>
      <c r="H29" s="222">
        <f t="shared" si="0"/>
        <v>0</v>
      </c>
      <c r="I29" s="323">
        <v>0</v>
      </c>
      <c r="J29" s="318">
        <f t="shared" si="1"/>
        <v>0</v>
      </c>
      <c r="K29" s="318">
        <f t="shared" si="3"/>
        <v>0</v>
      </c>
    </row>
    <row r="30" spans="1:11">
      <c r="A30" s="288"/>
      <c r="B30" s="320"/>
      <c r="C30" s="320"/>
      <c r="D30" s="321">
        <v>0</v>
      </c>
      <c r="E30" s="222">
        <f t="shared" si="2"/>
        <v>0</v>
      </c>
      <c r="F30" s="316">
        <f>IF(F$12=0,0,#REF!*F$12)</f>
        <v>0</v>
      </c>
      <c r="G30" s="322">
        <v>0</v>
      </c>
      <c r="H30" s="222">
        <f t="shared" si="0"/>
        <v>0</v>
      </c>
      <c r="I30" s="323">
        <v>0</v>
      </c>
      <c r="J30" s="318">
        <f t="shared" si="1"/>
        <v>0</v>
      </c>
      <c r="K30" s="318">
        <f t="shared" si="3"/>
        <v>0</v>
      </c>
    </row>
    <row r="31" spans="1:11">
      <c r="A31" s="288"/>
      <c r="B31" s="320"/>
      <c r="C31" s="320"/>
      <c r="D31" s="321">
        <v>0</v>
      </c>
      <c r="E31" s="222">
        <f t="shared" si="2"/>
        <v>0</v>
      </c>
      <c r="F31" s="316">
        <f>IF(F$12=0,0,#REF!*F$12)</f>
        <v>0</v>
      </c>
      <c r="G31" s="322">
        <v>0</v>
      </c>
      <c r="H31" s="222">
        <f t="shared" si="0"/>
        <v>0</v>
      </c>
      <c r="I31" s="323">
        <v>0</v>
      </c>
      <c r="J31" s="318">
        <f t="shared" si="1"/>
        <v>0</v>
      </c>
      <c r="K31" s="318">
        <f t="shared" si="3"/>
        <v>0</v>
      </c>
    </row>
    <row r="32" spans="1:11">
      <c r="A32" s="288"/>
      <c r="B32" s="320"/>
      <c r="C32" s="320"/>
      <c r="D32" s="321">
        <v>0</v>
      </c>
      <c r="E32" s="222">
        <f t="shared" si="2"/>
        <v>0</v>
      </c>
      <c r="F32" s="316">
        <f>IF(F$12=0,0,#REF!*F$12)</f>
        <v>0</v>
      </c>
      <c r="G32" s="322">
        <v>0</v>
      </c>
      <c r="H32" s="222">
        <f t="shared" si="0"/>
        <v>0</v>
      </c>
      <c r="I32" s="323">
        <v>0</v>
      </c>
      <c r="J32" s="318">
        <f t="shared" si="1"/>
        <v>0</v>
      </c>
      <c r="K32" s="318">
        <f t="shared" si="3"/>
        <v>0</v>
      </c>
    </row>
    <row r="33" spans="1:12">
      <c r="A33" s="288"/>
      <c r="B33" s="320"/>
      <c r="C33" s="320"/>
      <c r="D33" s="321">
        <v>0</v>
      </c>
      <c r="E33" s="222">
        <f t="shared" si="2"/>
        <v>0</v>
      </c>
      <c r="F33" s="316">
        <f>IF(F$12=0,0,#REF!*F$12)</f>
        <v>0</v>
      </c>
      <c r="G33" s="322">
        <v>0</v>
      </c>
      <c r="H33" s="222">
        <f t="shared" si="0"/>
        <v>0</v>
      </c>
      <c r="I33" s="323">
        <v>0</v>
      </c>
      <c r="J33" s="318">
        <f t="shared" si="1"/>
        <v>0</v>
      </c>
      <c r="K33" s="318">
        <f t="shared" si="3"/>
        <v>0</v>
      </c>
    </row>
    <row r="34" spans="1:12">
      <c r="A34" s="288"/>
      <c r="B34" s="320"/>
      <c r="C34" s="320"/>
      <c r="D34" s="321">
        <v>0</v>
      </c>
      <c r="E34" s="222">
        <f t="shared" si="2"/>
        <v>0</v>
      </c>
      <c r="F34" s="316">
        <f>IF(F$12=0,0,#REF!*F$12)</f>
        <v>0</v>
      </c>
      <c r="G34" s="322">
        <v>0</v>
      </c>
      <c r="H34" s="222">
        <f t="shared" si="0"/>
        <v>0</v>
      </c>
      <c r="I34" s="323">
        <v>0</v>
      </c>
      <c r="J34" s="318">
        <f t="shared" si="1"/>
        <v>0</v>
      </c>
      <c r="K34" s="318">
        <f t="shared" si="3"/>
        <v>0</v>
      </c>
    </row>
    <row r="35" spans="1:12" ht="13.5" customHeight="1">
      <c r="A35" s="288"/>
      <c r="B35" s="320"/>
      <c r="C35" s="320"/>
      <c r="D35" s="321">
        <v>0</v>
      </c>
      <c r="E35" s="222">
        <f t="shared" si="2"/>
        <v>0</v>
      </c>
      <c r="F35" s="316">
        <f>IF(F$12=0,0,#REF!*F$12)</f>
        <v>0</v>
      </c>
      <c r="G35" s="322">
        <v>0</v>
      </c>
      <c r="H35" s="222">
        <f t="shared" si="0"/>
        <v>0</v>
      </c>
      <c r="I35" s="323">
        <v>0</v>
      </c>
      <c r="J35" s="318">
        <f t="shared" si="1"/>
        <v>0</v>
      </c>
      <c r="K35" s="318">
        <f t="shared" si="3"/>
        <v>0</v>
      </c>
    </row>
    <row r="36" spans="1:12" ht="13.5" customHeight="1">
      <c r="A36" s="288"/>
      <c r="B36" s="320"/>
      <c r="C36" s="320"/>
      <c r="D36" s="321">
        <v>0</v>
      </c>
      <c r="E36" s="222">
        <f t="shared" si="2"/>
        <v>0</v>
      </c>
      <c r="F36" s="316">
        <f>IF(F$12=0,0,#REF!*F$12)</f>
        <v>0</v>
      </c>
      <c r="G36" s="322">
        <v>0</v>
      </c>
      <c r="H36" s="222">
        <f t="shared" si="0"/>
        <v>0</v>
      </c>
      <c r="I36" s="323">
        <v>0</v>
      </c>
      <c r="J36" s="318">
        <f t="shared" si="1"/>
        <v>0</v>
      </c>
      <c r="K36" s="318">
        <f t="shared" si="3"/>
        <v>0</v>
      </c>
    </row>
    <row r="37" spans="1:12">
      <c r="A37" s="288"/>
      <c r="B37" s="320"/>
      <c r="C37" s="320"/>
      <c r="D37" s="321">
        <v>0</v>
      </c>
      <c r="E37" s="222">
        <f t="shared" si="2"/>
        <v>0</v>
      </c>
      <c r="F37" s="316">
        <f>IF(F$12=0,0,#REF!*F$12)</f>
        <v>0</v>
      </c>
      <c r="G37" s="322">
        <v>0</v>
      </c>
      <c r="H37" s="222">
        <f t="shared" si="0"/>
        <v>0</v>
      </c>
      <c r="I37" s="323">
        <v>0</v>
      </c>
      <c r="J37" s="318">
        <f t="shared" si="1"/>
        <v>0</v>
      </c>
      <c r="K37" s="318">
        <f t="shared" si="3"/>
        <v>0</v>
      </c>
    </row>
    <row r="38" spans="1:12">
      <c r="A38" s="288"/>
      <c r="B38" s="324"/>
      <c r="C38" s="324"/>
      <c r="D38" s="325"/>
      <c r="E38" s="326"/>
      <c r="F38" s="303"/>
      <c r="G38" s="327"/>
      <c r="H38" s="324"/>
      <c r="I38" s="324"/>
      <c r="J38" s="324"/>
      <c r="K38" s="324"/>
    </row>
    <row r="39" spans="1:12">
      <c r="A39" s="288">
        <v>4</v>
      </c>
      <c r="B39" s="3" t="s">
        <v>524</v>
      </c>
      <c r="C39" s="3"/>
      <c r="D39" s="22">
        <f>SUM(D18:D38)</f>
        <v>0</v>
      </c>
      <c r="E39" s="22">
        <f>SUM(E18:E38)</f>
        <v>0</v>
      </c>
      <c r="F39" s="22">
        <f>SUM(F18:F38)</f>
        <v>0</v>
      </c>
      <c r="G39" s="22">
        <f>SUM(G18:G38)</f>
        <v>0</v>
      </c>
      <c r="H39" s="22">
        <f>SUM(H18:H38)</f>
        <v>0</v>
      </c>
      <c r="I39" s="22"/>
      <c r="J39" s="22">
        <f>SUM(J18:J38)</f>
        <v>0</v>
      </c>
      <c r="K39" s="22">
        <f>SUM(K18:K38)</f>
        <v>0</v>
      </c>
    </row>
    <row r="40" spans="1:12">
      <c r="A40" s="288"/>
      <c r="B40" s="3"/>
      <c r="C40" s="3"/>
      <c r="D40" s="22"/>
      <c r="E40" s="22"/>
      <c r="F40" s="22"/>
      <c r="G40" s="22"/>
      <c r="H40" s="22"/>
      <c r="I40" s="22"/>
      <c r="J40" s="22"/>
      <c r="K40" s="22"/>
    </row>
    <row r="41" spans="1:12">
      <c r="A41" s="288"/>
      <c r="B41" s="3"/>
      <c r="C41" s="3"/>
      <c r="D41" s="22"/>
      <c r="E41" s="22"/>
      <c r="F41" s="22"/>
      <c r="G41" s="22" t="s">
        <v>525</v>
      </c>
      <c r="H41" s="22"/>
      <c r="I41" s="22"/>
      <c r="J41" s="328">
        <v>0</v>
      </c>
      <c r="K41" s="22"/>
    </row>
    <row r="42" spans="1:12">
      <c r="A42" s="288"/>
      <c r="B42" s="3"/>
      <c r="C42" s="3"/>
      <c r="D42" s="22"/>
      <c r="E42" s="22"/>
      <c r="F42" s="22"/>
      <c r="G42" s="22" t="s">
        <v>526</v>
      </c>
      <c r="H42" s="22"/>
      <c r="I42" s="22"/>
      <c r="J42" s="22">
        <f>+J39</f>
        <v>0</v>
      </c>
      <c r="K42" s="22"/>
    </row>
    <row r="43" spans="1:12">
      <c r="A43" s="288"/>
      <c r="B43" s="3" t="s">
        <v>527</v>
      </c>
      <c r="C43" s="3"/>
      <c r="D43" s="3"/>
      <c r="E43" s="3"/>
      <c r="F43" s="3"/>
      <c r="G43" s="3"/>
      <c r="H43" s="3"/>
      <c r="I43" s="3"/>
      <c r="J43" s="3"/>
      <c r="K43" s="3"/>
      <c r="L43" s="3"/>
    </row>
    <row r="44" spans="1:12">
      <c r="A44" s="288"/>
      <c r="B44" s="3" t="s">
        <v>528</v>
      </c>
      <c r="C44" s="3"/>
      <c r="D44" s="3"/>
      <c r="E44" s="3"/>
      <c r="F44" s="3"/>
      <c r="G44" s="3"/>
      <c r="H44" s="3"/>
      <c r="I44" s="3"/>
      <c r="J44" s="3"/>
      <c r="K44" s="3"/>
      <c r="L44" s="3"/>
    </row>
    <row r="45" spans="1:12">
      <c r="A45" s="288"/>
      <c r="B45" s="3" t="s">
        <v>529</v>
      </c>
      <c r="C45" s="3"/>
      <c r="D45" s="3"/>
      <c r="E45" s="3"/>
      <c r="F45" s="3"/>
      <c r="G45" s="3"/>
      <c r="H45" s="3"/>
      <c r="I45" s="3"/>
      <c r="J45" s="3"/>
      <c r="K45" s="3"/>
      <c r="L45" s="3"/>
    </row>
    <row r="46" spans="1:12">
      <c r="A46" s="288"/>
      <c r="B46" s="3" t="s">
        <v>530</v>
      </c>
      <c r="C46" s="3"/>
      <c r="D46" s="3"/>
      <c r="E46" s="3"/>
      <c r="F46" s="3"/>
      <c r="G46" s="3"/>
      <c r="H46" s="3"/>
      <c r="I46" s="3"/>
      <c r="J46" s="3"/>
      <c r="K46" s="3"/>
      <c r="L46" s="3"/>
    </row>
    <row r="47" spans="1:12">
      <c r="A47" s="288"/>
      <c r="B47" s="151" t="s">
        <v>531</v>
      </c>
      <c r="C47" s="3"/>
      <c r="D47" s="3"/>
      <c r="E47" s="3"/>
      <c r="F47" s="3"/>
      <c r="G47" s="3"/>
      <c r="H47" s="3"/>
      <c r="I47" s="3"/>
      <c r="J47" s="3"/>
      <c r="K47" s="3"/>
      <c r="L47" s="3"/>
    </row>
    <row r="48" spans="1:12">
      <c r="A48" s="288"/>
      <c r="B48" s="151" t="s">
        <v>532</v>
      </c>
      <c r="C48" s="3"/>
      <c r="D48" s="3"/>
      <c r="E48" s="3"/>
      <c r="F48" s="3"/>
      <c r="G48" s="3"/>
      <c r="H48" s="3"/>
      <c r="I48" s="3"/>
      <c r="J48" s="3"/>
      <c r="K48" s="3"/>
      <c r="L48" s="3"/>
    </row>
    <row r="49" spans="1:12">
      <c r="A49" s="288"/>
      <c r="B49" s="3" t="s">
        <v>533</v>
      </c>
      <c r="C49" s="3"/>
      <c r="D49" s="3"/>
      <c r="E49" s="3"/>
      <c r="F49" s="3"/>
      <c r="G49" s="3"/>
      <c r="H49" s="3"/>
      <c r="I49" s="3"/>
      <c r="J49" s="3"/>
      <c r="K49" s="3"/>
      <c r="L49" s="3"/>
    </row>
    <row r="50" spans="1:12">
      <c r="A50" s="288"/>
      <c r="B50" s="3" t="s">
        <v>534</v>
      </c>
      <c r="C50" s="3"/>
      <c r="D50" s="3"/>
      <c r="E50" s="3"/>
      <c r="F50" s="3"/>
      <c r="G50" s="3"/>
      <c r="H50" s="3"/>
      <c r="I50" s="3"/>
      <c r="J50" s="3"/>
      <c r="K50" s="3"/>
      <c r="L50" s="3"/>
    </row>
    <row r="51" spans="1:12">
      <c r="A51" s="288"/>
      <c r="J51" s="3"/>
      <c r="K51" s="3"/>
      <c r="L51" s="3"/>
    </row>
    <row r="52" spans="1:12">
      <c r="A52" s="288"/>
      <c r="C52" s="3"/>
      <c r="D52" s="3"/>
      <c r="E52" s="3"/>
      <c r="F52" s="3"/>
      <c r="G52" s="3"/>
      <c r="H52" s="3"/>
      <c r="I52" s="3"/>
      <c r="J52" s="3"/>
      <c r="K52" s="3"/>
      <c r="L52" s="3"/>
    </row>
    <row r="53" spans="1:12">
      <c r="A53" s="288"/>
      <c r="C53" s="3"/>
      <c r="D53" s="3"/>
      <c r="E53" s="3"/>
      <c r="F53" s="3"/>
      <c r="G53" s="3"/>
      <c r="H53" s="3"/>
      <c r="I53" s="3"/>
      <c r="J53" s="3"/>
      <c r="K53" s="3"/>
      <c r="L53" s="3"/>
    </row>
    <row r="54" spans="1:12">
      <c r="A54" s="288"/>
      <c r="D54" s="22"/>
      <c r="E54" s="22"/>
      <c r="F54" s="22"/>
      <c r="G54" s="22"/>
      <c r="H54" s="22"/>
    </row>
    <row r="55" spans="1:12">
      <c r="A55" s="329" t="s">
        <v>535</v>
      </c>
      <c r="D55" s="22"/>
      <c r="E55" s="22"/>
      <c r="F55" s="22"/>
      <c r="G55" s="22"/>
      <c r="H55" s="22"/>
    </row>
    <row r="56" spans="1:12">
      <c r="A56" s="288"/>
      <c r="B56" s="179" t="s">
        <v>536</v>
      </c>
      <c r="C56" s="330" t="s">
        <v>537</v>
      </c>
      <c r="D56" s="179" t="s">
        <v>538</v>
      </c>
      <c r="E56" s="179" t="s">
        <v>539</v>
      </c>
      <c r="F56" s="179"/>
    </row>
    <row r="57" spans="1:12">
      <c r="A57" s="288"/>
      <c r="B57" s="331" t="str">
        <f>+A55</f>
        <v>Prior Period Adjustment</v>
      </c>
      <c r="C57" s="332" t="s">
        <v>17</v>
      </c>
      <c r="D57" s="332" t="s">
        <v>503</v>
      </c>
      <c r="E57" s="332" t="s">
        <v>22</v>
      </c>
    </row>
    <row r="58" spans="1:12">
      <c r="A58" s="288"/>
      <c r="B58" s="333" t="s">
        <v>540</v>
      </c>
      <c r="C58" s="334" t="s">
        <v>541</v>
      </c>
      <c r="D58" s="334" t="s">
        <v>542</v>
      </c>
      <c r="E58" s="334" t="s">
        <v>543</v>
      </c>
    </row>
    <row r="59" spans="1:12">
      <c r="A59" s="288" t="s">
        <v>353</v>
      </c>
      <c r="B59" s="335">
        <v>0</v>
      </c>
      <c r="C59" s="323">
        <v>0</v>
      </c>
      <c r="D59" s="323">
        <v>0</v>
      </c>
      <c r="E59" s="223">
        <f>+C59+D59</f>
        <v>0</v>
      </c>
    </row>
    <row r="60" spans="1:12">
      <c r="A60" s="288"/>
      <c r="B60" s="336"/>
      <c r="C60" s="230"/>
      <c r="D60" s="230"/>
      <c r="E60" s="231"/>
    </row>
    <row r="61" spans="1:12">
      <c r="A61" s="288"/>
      <c r="H61" s="25"/>
    </row>
    <row r="62" spans="1:12" ht="66" customHeight="1">
      <c r="A62" s="288"/>
      <c r="C62" s="3"/>
      <c r="D62" s="337"/>
      <c r="E62" s="337"/>
      <c r="F62" s="337"/>
      <c r="G62" s="337"/>
      <c r="H62" s="337"/>
      <c r="I62" s="337"/>
    </row>
    <row r="63" spans="1:12" ht="56.25" customHeight="1">
      <c r="A63" s="338" t="s">
        <v>527</v>
      </c>
      <c r="B63" s="239" t="s">
        <v>431</v>
      </c>
      <c r="C63" s="339" t="s">
        <v>544</v>
      </c>
      <c r="D63" s="339"/>
      <c r="E63" s="339"/>
      <c r="F63" s="339"/>
      <c r="G63" s="339"/>
      <c r="H63" s="339"/>
      <c r="I63" s="339"/>
      <c r="J63" s="339"/>
    </row>
    <row r="64" spans="1:12" ht="27" customHeight="1">
      <c r="A64" s="288"/>
      <c r="B64" s="340" t="s">
        <v>433</v>
      </c>
      <c r="C64" s="240" t="s">
        <v>545</v>
      </c>
      <c r="D64" s="240"/>
      <c r="E64" s="240"/>
      <c r="F64" s="240"/>
      <c r="G64" s="240"/>
      <c r="H64" s="240"/>
      <c r="I64" s="240"/>
    </row>
    <row r="68" ht="24" customHeight="1"/>
  </sheetData>
  <mergeCells count="4">
    <mergeCell ref="D10:E10"/>
    <mergeCell ref="D11:E11"/>
    <mergeCell ref="C63:J63"/>
    <mergeCell ref="C64:I64"/>
  </mergeCells>
  <pageMargins left="0.25" right="0.25"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306BD-C5DE-428F-B552-A3DA01984F95}">
  <sheetPr>
    <pageSetUpPr fitToPage="1"/>
  </sheetPr>
  <dimension ref="A1:P77"/>
  <sheetViews>
    <sheetView zoomScale="85" zoomScaleNormal="85" zoomScaleSheetLayoutView="85" workbookViewId="0">
      <selection activeCell="D253" sqref="D253"/>
    </sheetView>
  </sheetViews>
  <sheetFormatPr defaultColWidth="8.77734375" defaultRowHeight="12.75"/>
  <cols>
    <col min="1" max="1" width="4.77734375" style="341" customWidth="1"/>
    <col min="2" max="2" width="29" style="3" bestFit="1" customWidth="1"/>
    <col min="3" max="3" width="20" style="3" customWidth="1"/>
    <col min="4" max="4" width="19.21875" style="3" customWidth="1"/>
    <col min="5" max="5" width="16" style="3" customWidth="1"/>
    <col min="6" max="6" width="17.21875" style="3" customWidth="1"/>
    <col min="7" max="7" width="21.21875" style="3" customWidth="1"/>
    <col min="8" max="8" width="18" style="3" customWidth="1"/>
    <col min="9" max="9" width="20.77734375" style="3" customWidth="1"/>
    <col min="10" max="10" width="25.21875" style="3" customWidth="1"/>
    <col min="11" max="14" width="11.77734375" style="3" customWidth="1"/>
    <col min="15" max="16384" width="8.77734375" style="3"/>
  </cols>
  <sheetData>
    <row r="1" spans="1:12">
      <c r="C1" s="342"/>
      <c r="D1" s="342"/>
      <c r="E1" s="342"/>
      <c r="G1" s="154" t="s">
        <v>546</v>
      </c>
      <c r="H1" s="342"/>
      <c r="I1" s="342"/>
      <c r="J1" s="343" t="s">
        <v>339</v>
      </c>
    </row>
    <row r="2" spans="1:12">
      <c r="A2" s="344"/>
      <c r="C2" s="342"/>
      <c r="D2" s="342"/>
      <c r="E2" s="342"/>
      <c r="F2" s="342"/>
      <c r="G2" s="345" t="s">
        <v>547</v>
      </c>
      <c r="H2" s="342"/>
      <c r="I2" s="342"/>
      <c r="J2" s="342"/>
      <c r="L2" s="346"/>
    </row>
    <row r="3" spans="1:12">
      <c r="A3" s="344"/>
      <c r="C3" s="342"/>
      <c r="D3" s="342"/>
      <c r="E3" s="342"/>
      <c r="F3" s="342"/>
      <c r="G3" s="50" t="str">
        <f>'Attachment H'!$D$5</f>
        <v>NextEra Energy Transmission MidAtlantic Indiana, Inc.</v>
      </c>
      <c r="H3" s="342"/>
      <c r="I3" s="342"/>
      <c r="J3" s="342"/>
    </row>
    <row r="4" spans="1:12">
      <c r="A4" s="344"/>
      <c r="C4" s="342"/>
      <c r="D4" s="342"/>
      <c r="E4" s="342"/>
      <c r="F4" s="342"/>
      <c r="G4" s="342"/>
      <c r="H4" s="342"/>
      <c r="I4" s="342"/>
      <c r="J4" s="342"/>
    </row>
    <row r="5" spans="1:12">
      <c r="A5" s="344"/>
      <c r="B5" s="347"/>
      <c r="C5" s="347"/>
      <c r="D5" s="347"/>
      <c r="E5" s="347"/>
      <c r="F5" s="347"/>
      <c r="G5" s="347"/>
      <c r="H5" s="347"/>
      <c r="I5" s="347"/>
      <c r="J5" s="347"/>
    </row>
    <row r="6" spans="1:12">
      <c r="A6" s="344"/>
      <c r="B6" s="347"/>
      <c r="C6" s="348" t="s">
        <v>548</v>
      </c>
      <c r="D6" s="348"/>
      <c r="E6" s="349" t="s">
        <v>549</v>
      </c>
      <c r="F6" s="349" t="s">
        <v>550</v>
      </c>
      <c r="G6" s="348" t="s">
        <v>551</v>
      </c>
      <c r="H6" s="348"/>
      <c r="I6" s="350" t="s">
        <v>552</v>
      </c>
      <c r="J6" s="350"/>
    </row>
    <row r="7" spans="1:12" s="353" customFormat="1" ht="25.5">
      <c r="A7" s="351" t="s">
        <v>553</v>
      </c>
      <c r="B7" s="352" t="s">
        <v>554</v>
      </c>
      <c r="C7" s="352" t="s">
        <v>41</v>
      </c>
      <c r="D7" s="352" t="s">
        <v>555</v>
      </c>
      <c r="E7" s="352" t="s">
        <v>556</v>
      </c>
      <c r="F7" s="352" t="s">
        <v>557</v>
      </c>
      <c r="G7" s="352" t="s">
        <v>107</v>
      </c>
      <c r="H7" s="352" t="s">
        <v>558</v>
      </c>
      <c r="I7" s="352" t="s">
        <v>41</v>
      </c>
      <c r="J7" s="352" t="s">
        <v>555</v>
      </c>
    </row>
    <row r="8" spans="1:12" s="72" customFormat="1">
      <c r="A8" s="344"/>
      <c r="B8" s="349" t="s">
        <v>536</v>
      </c>
      <c r="C8" s="349" t="s">
        <v>537</v>
      </c>
      <c r="D8" s="349" t="s">
        <v>538</v>
      </c>
      <c r="E8" s="352" t="s">
        <v>539</v>
      </c>
      <c r="F8" s="352" t="s">
        <v>559</v>
      </c>
      <c r="G8" s="352" t="s">
        <v>560</v>
      </c>
      <c r="H8" s="352" t="s">
        <v>561</v>
      </c>
      <c r="I8" s="354" t="s">
        <v>562</v>
      </c>
      <c r="J8" s="354" t="s">
        <v>563</v>
      </c>
    </row>
    <row r="9" spans="1:12" s="72" customFormat="1">
      <c r="A9" s="344"/>
      <c r="B9" s="355" t="s">
        <v>564</v>
      </c>
      <c r="C9" s="345">
        <v>2</v>
      </c>
      <c r="D9" s="345">
        <v>4</v>
      </c>
      <c r="E9" s="356">
        <v>27</v>
      </c>
      <c r="F9" s="356">
        <v>31</v>
      </c>
      <c r="G9" s="356">
        <v>34</v>
      </c>
      <c r="H9" s="356">
        <v>35</v>
      </c>
      <c r="I9" s="357">
        <v>9</v>
      </c>
      <c r="J9" s="357">
        <v>11</v>
      </c>
    </row>
    <row r="10" spans="1:12" s="72" customFormat="1" ht="25.5">
      <c r="A10" s="344"/>
      <c r="B10" s="349"/>
      <c r="C10" s="358" t="s">
        <v>565</v>
      </c>
      <c r="D10" s="358" t="s">
        <v>566</v>
      </c>
      <c r="E10" s="359" t="s">
        <v>412</v>
      </c>
      <c r="F10" s="358" t="s">
        <v>567</v>
      </c>
      <c r="G10" s="358" t="s">
        <v>568</v>
      </c>
      <c r="H10" s="358" t="s">
        <v>569</v>
      </c>
      <c r="I10" s="358" t="s">
        <v>570</v>
      </c>
      <c r="J10" s="358" t="s">
        <v>571</v>
      </c>
    </row>
    <row r="11" spans="1:12">
      <c r="A11" s="344">
        <v>1</v>
      </c>
      <c r="B11" s="360" t="s">
        <v>572</v>
      </c>
      <c r="C11" s="361"/>
      <c r="D11" s="361">
        <v>0</v>
      </c>
      <c r="E11" s="361">
        <v>0</v>
      </c>
      <c r="F11" s="361">
        <v>0</v>
      </c>
      <c r="G11" s="361">
        <v>0</v>
      </c>
      <c r="H11" s="57">
        <v>0</v>
      </c>
      <c r="I11" s="361">
        <v>0</v>
      </c>
      <c r="J11" s="361">
        <v>0</v>
      </c>
    </row>
    <row r="12" spans="1:12">
      <c r="A12" s="344">
        <v>2</v>
      </c>
      <c r="B12" s="360" t="s">
        <v>573</v>
      </c>
      <c r="C12" s="361"/>
      <c r="D12" s="361">
        <v>0</v>
      </c>
      <c r="E12" s="361">
        <v>0</v>
      </c>
      <c r="F12" s="361">
        <v>0</v>
      </c>
      <c r="G12" s="361">
        <v>0</v>
      </c>
      <c r="H12" s="361">
        <v>0</v>
      </c>
      <c r="I12" s="57">
        <v>0</v>
      </c>
      <c r="J12" s="361">
        <v>0</v>
      </c>
    </row>
    <row r="13" spans="1:12">
      <c r="A13" s="344">
        <v>3</v>
      </c>
      <c r="B13" s="342" t="s">
        <v>574</v>
      </c>
      <c r="C13" s="361"/>
      <c r="D13" s="361">
        <v>0</v>
      </c>
      <c r="E13" s="361">
        <v>0</v>
      </c>
      <c r="F13" s="361">
        <v>0</v>
      </c>
      <c r="G13" s="361">
        <v>0</v>
      </c>
      <c r="H13" s="361">
        <v>0</v>
      </c>
      <c r="I13" s="57">
        <v>0</v>
      </c>
      <c r="J13" s="361">
        <v>0</v>
      </c>
    </row>
    <row r="14" spans="1:12">
      <c r="A14" s="344">
        <v>4</v>
      </c>
      <c r="B14" s="342" t="s">
        <v>575</v>
      </c>
      <c r="C14" s="361"/>
      <c r="D14" s="361">
        <v>0</v>
      </c>
      <c r="E14" s="361">
        <v>0</v>
      </c>
      <c r="F14" s="361">
        <v>0</v>
      </c>
      <c r="G14" s="361">
        <v>0</v>
      </c>
      <c r="H14" s="361">
        <v>0</v>
      </c>
      <c r="I14" s="57">
        <v>0</v>
      </c>
      <c r="J14" s="361">
        <v>0</v>
      </c>
    </row>
    <row r="15" spans="1:12">
      <c r="A15" s="344">
        <v>5</v>
      </c>
      <c r="B15" s="342" t="s">
        <v>576</v>
      </c>
      <c r="C15" s="361"/>
      <c r="D15" s="361">
        <v>0</v>
      </c>
      <c r="E15" s="361">
        <v>0</v>
      </c>
      <c r="F15" s="361">
        <v>0</v>
      </c>
      <c r="G15" s="361">
        <v>0</v>
      </c>
      <c r="H15" s="361">
        <v>0</v>
      </c>
      <c r="I15" s="57">
        <v>0</v>
      </c>
      <c r="J15" s="361">
        <v>0</v>
      </c>
    </row>
    <row r="16" spans="1:12">
      <c r="A16" s="344">
        <v>6</v>
      </c>
      <c r="B16" s="342" t="s">
        <v>577</v>
      </c>
      <c r="C16" s="361"/>
      <c r="D16" s="361">
        <v>0</v>
      </c>
      <c r="E16" s="361">
        <v>0</v>
      </c>
      <c r="F16" s="361">
        <v>0</v>
      </c>
      <c r="G16" s="361">
        <v>0</v>
      </c>
      <c r="H16" s="361">
        <v>0</v>
      </c>
      <c r="I16" s="57">
        <v>0</v>
      </c>
      <c r="J16" s="361">
        <v>0</v>
      </c>
    </row>
    <row r="17" spans="1:10">
      <c r="A17" s="344">
        <v>7</v>
      </c>
      <c r="B17" s="342" t="s">
        <v>578</v>
      </c>
      <c r="C17" s="361"/>
      <c r="D17" s="361">
        <v>0</v>
      </c>
      <c r="E17" s="361">
        <v>0</v>
      </c>
      <c r="F17" s="361">
        <v>0</v>
      </c>
      <c r="G17" s="361">
        <v>0</v>
      </c>
      <c r="H17" s="361">
        <v>0</v>
      </c>
      <c r="I17" s="57">
        <v>0</v>
      </c>
      <c r="J17" s="361">
        <v>0</v>
      </c>
    </row>
    <row r="18" spans="1:10">
      <c r="A18" s="344">
        <v>8</v>
      </c>
      <c r="B18" s="342" t="s">
        <v>579</v>
      </c>
      <c r="C18" s="361"/>
      <c r="D18" s="361">
        <v>0</v>
      </c>
      <c r="E18" s="361">
        <v>0</v>
      </c>
      <c r="F18" s="361">
        <v>0</v>
      </c>
      <c r="G18" s="361">
        <v>0</v>
      </c>
      <c r="H18" s="361">
        <v>0</v>
      </c>
      <c r="I18" s="57">
        <v>0</v>
      </c>
      <c r="J18" s="361">
        <v>0</v>
      </c>
    </row>
    <row r="19" spans="1:10">
      <c r="A19" s="344">
        <v>9</v>
      </c>
      <c r="B19" s="342" t="s">
        <v>580</v>
      </c>
      <c r="C19" s="361"/>
      <c r="D19" s="361">
        <v>0</v>
      </c>
      <c r="E19" s="361">
        <v>0</v>
      </c>
      <c r="F19" s="361">
        <v>0</v>
      </c>
      <c r="G19" s="361">
        <v>0</v>
      </c>
      <c r="H19" s="361">
        <v>0</v>
      </c>
      <c r="I19" s="57">
        <v>0</v>
      </c>
      <c r="J19" s="361">
        <v>0</v>
      </c>
    </row>
    <row r="20" spans="1:10">
      <c r="A20" s="344">
        <v>10</v>
      </c>
      <c r="B20" s="342" t="s">
        <v>581</v>
      </c>
      <c r="C20" s="361"/>
      <c r="D20" s="361">
        <v>0</v>
      </c>
      <c r="E20" s="361">
        <v>0</v>
      </c>
      <c r="F20" s="361">
        <v>0</v>
      </c>
      <c r="G20" s="361">
        <v>0</v>
      </c>
      <c r="H20" s="361">
        <v>0</v>
      </c>
      <c r="I20" s="57">
        <v>0</v>
      </c>
      <c r="J20" s="361">
        <v>0</v>
      </c>
    </row>
    <row r="21" spans="1:10">
      <c r="A21" s="344">
        <v>11</v>
      </c>
      <c r="B21" s="342" t="s">
        <v>582</v>
      </c>
      <c r="C21" s="361"/>
      <c r="D21" s="361">
        <v>0</v>
      </c>
      <c r="E21" s="361">
        <v>0</v>
      </c>
      <c r="F21" s="361">
        <v>0</v>
      </c>
      <c r="G21" s="361">
        <v>0</v>
      </c>
      <c r="H21" s="361">
        <v>0</v>
      </c>
      <c r="I21" s="57">
        <v>0</v>
      </c>
      <c r="J21" s="361">
        <v>0</v>
      </c>
    </row>
    <row r="22" spans="1:10">
      <c r="A22" s="344">
        <v>12</v>
      </c>
      <c r="B22" s="342" t="s">
        <v>583</v>
      </c>
      <c r="C22" s="361">
        <v>2486171.48</v>
      </c>
      <c r="D22" s="361">
        <v>0</v>
      </c>
      <c r="E22" s="361">
        <v>0</v>
      </c>
      <c r="F22" s="361">
        <v>0</v>
      </c>
      <c r="G22" s="361">
        <v>0</v>
      </c>
      <c r="H22" s="361">
        <v>0</v>
      </c>
      <c r="I22" s="57">
        <v>2345902.63</v>
      </c>
      <c r="J22" s="361">
        <v>0</v>
      </c>
    </row>
    <row r="23" spans="1:10">
      <c r="A23" s="344">
        <v>13</v>
      </c>
      <c r="B23" s="342" t="s">
        <v>584</v>
      </c>
      <c r="C23" s="361">
        <v>2486171.48</v>
      </c>
      <c r="D23" s="361">
        <v>0</v>
      </c>
      <c r="E23" s="361">
        <v>0</v>
      </c>
      <c r="F23" s="361">
        <v>0</v>
      </c>
      <c r="G23" s="361">
        <v>0</v>
      </c>
      <c r="H23" s="361">
        <v>0</v>
      </c>
      <c r="I23" s="57">
        <v>2345993.35</v>
      </c>
      <c r="J23" s="361">
        <v>0</v>
      </c>
    </row>
    <row r="24" spans="1:10" ht="13.5" thickBot="1">
      <c r="A24" s="344">
        <v>14</v>
      </c>
      <c r="B24" s="343" t="s">
        <v>585</v>
      </c>
      <c r="C24" s="87">
        <f t="shared" ref="C24:J24" si="0">SUM(C11:C23)/13</f>
        <v>382487.92</v>
      </c>
      <c r="D24" s="87">
        <f t="shared" si="0"/>
        <v>0</v>
      </c>
      <c r="E24" s="87">
        <f t="shared" si="0"/>
        <v>0</v>
      </c>
      <c r="F24" s="87">
        <f t="shared" si="0"/>
        <v>0</v>
      </c>
      <c r="G24" s="87">
        <f t="shared" si="0"/>
        <v>0</v>
      </c>
      <c r="H24" s="87">
        <f t="shared" si="0"/>
        <v>0</v>
      </c>
      <c r="I24" s="87">
        <f t="shared" si="0"/>
        <v>360915.0753846154</v>
      </c>
      <c r="J24" s="87">
        <f t="shared" si="0"/>
        <v>0</v>
      </c>
    </row>
    <row r="25" spans="1:10" ht="13.5" thickTop="1">
      <c r="A25" s="344"/>
      <c r="B25" s="342"/>
      <c r="C25" s="362"/>
      <c r="D25" s="363"/>
      <c r="E25" s="363"/>
      <c r="F25" s="363"/>
      <c r="G25" s="362"/>
      <c r="H25" s="362"/>
      <c r="I25" s="362"/>
    </row>
    <row r="26" spans="1:10">
      <c r="A26" s="344"/>
      <c r="B26" s="364"/>
      <c r="C26" s="350" t="s">
        <v>586</v>
      </c>
      <c r="D26" s="350"/>
      <c r="E26" s="350"/>
      <c r="F26" s="350"/>
      <c r="G26" s="350"/>
      <c r="H26" s="350"/>
      <c r="I26" s="350"/>
    </row>
    <row r="27" spans="1:10" ht="72" customHeight="1">
      <c r="A27" s="344" t="s">
        <v>553</v>
      </c>
      <c r="B27" s="349" t="s">
        <v>554</v>
      </c>
      <c r="C27" s="354" t="s">
        <v>587</v>
      </c>
      <c r="D27" s="354" t="s">
        <v>588</v>
      </c>
      <c r="E27" s="354" t="s">
        <v>589</v>
      </c>
      <c r="F27" s="354" t="s">
        <v>590</v>
      </c>
      <c r="G27" s="354" t="s">
        <v>591</v>
      </c>
      <c r="H27" s="354" t="s">
        <v>592</v>
      </c>
      <c r="I27" s="354" t="s">
        <v>593</v>
      </c>
    </row>
    <row r="28" spans="1:10" s="72" customFormat="1">
      <c r="A28" s="344"/>
      <c r="B28" s="349" t="s">
        <v>536</v>
      </c>
      <c r="C28" s="354" t="s">
        <v>537</v>
      </c>
      <c r="D28" s="354" t="s">
        <v>538</v>
      </c>
      <c r="E28" s="354" t="s">
        <v>539</v>
      </c>
      <c r="F28" s="354" t="s">
        <v>559</v>
      </c>
      <c r="G28" s="354" t="s">
        <v>560</v>
      </c>
      <c r="H28" s="354" t="s">
        <v>561</v>
      </c>
      <c r="I28" s="354" t="s">
        <v>562</v>
      </c>
    </row>
    <row r="29" spans="1:10" s="72" customFormat="1">
      <c r="A29" s="344"/>
      <c r="B29" s="355" t="s">
        <v>564</v>
      </c>
      <c r="C29" s="357">
        <v>28</v>
      </c>
      <c r="D29" s="357">
        <v>29</v>
      </c>
      <c r="E29" s="357">
        <v>22</v>
      </c>
      <c r="F29" s="357">
        <v>23</v>
      </c>
      <c r="G29" s="357">
        <v>24</v>
      </c>
      <c r="H29" s="357">
        <v>25</v>
      </c>
      <c r="I29" s="357">
        <v>26</v>
      </c>
    </row>
    <row r="30" spans="1:10" s="72" customFormat="1" ht="25.5">
      <c r="A30" s="344"/>
      <c r="B30" s="349"/>
      <c r="C30" s="352" t="s">
        <v>594</v>
      </c>
      <c r="D30" s="354" t="s">
        <v>595</v>
      </c>
      <c r="E30" s="354" t="s">
        <v>596</v>
      </c>
      <c r="F30" s="354" t="s">
        <v>597</v>
      </c>
      <c r="G30" s="354" t="s">
        <v>598</v>
      </c>
      <c r="H30" s="354" t="s">
        <v>599</v>
      </c>
      <c r="I30" s="354" t="s">
        <v>600</v>
      </c>
    </row>
    <row r="31" spans="1:10">
      <c r="A31" s="344">
        <v>15</v>
      </c>
      <c r="B31" s="360" t="s">
        <v>572</v>
      </c>
      <c r="C31" s="361">
        <v>0</v>
      </c>
      <c r="D31" s="361">
        <v>0</v>
      </c>
      <c r="E31" s="361">
        <v>0</v>
      </c>
      <c r="F31" s="361">
        <v>0</v>
      </c>
      <c r="G31" s="361">
        <v>0</v>
      </c>
      <c r="H31" s="361">
        <v>0</v>
      </c>
      <c r="I31" s="361">
        <v>0</v>
      </c>
    </row>
    <row r="32" spans="1:10">
      <c r="A32" s="344">
        <v>16</v>
      </c>
      <c r="B32" s="360" t="s">
        <v>573</v>
      </c>
      <c r="C32" s="361">
        <v>0</v>
      </c>
      <c r="D32" s="361">
        <v>0</v>
      </c>
      <c r="E32" s="365"/>
      <c r="F32" s="365"/>
      <c r="G32" s="365"/>
      <c r="H32" s="365"/>
      <c r="I32" s="361">
        <v>0</v>
      </c>
    </row>
    <row r="33" spans="1:15">
      <c r="A33" s="344">
        <v>17</v>
      </c>
      <c r="B33" s="342" t="s">
        <v>574</v>
      </c>
      <c r="C33" s="361">
        <v>0</v>
      </c>
      <c r="D33" s="361">
        <v>0</v>
      </c>
      <c r="E33" s="365"/>
      <c r="F33" s="365"/>
      <c r="G33" s="365"/>
      <c r="H33" s="365"/>
      <c r="I33" s="361">
        <v>0</v>
      </c>
    </row>
    <row r="34" spans="1:15">
      <c r="A34" s="344">
        <v>18</v>
      </c>
      <c r="B34" s="342" t="s">
        <v>575</v>
      </c>
      <c r="C34" s="361">
        <v>0</v>
      </c>
      <c r="D34" s="361">
        <v>0</v>
      </c>
      <c r="E34" s="365"/>
      <c r="F34" s="365"/>
      <c r="G34" s="365"/>
      <c r="H34" s="365"/>
      <c r="I34" s="361">
        <v>0</v>
      </c>
    </row>
    <row r="35" spans="1:15">
      <c r="A35" s="344">
        <v>19</v>
      </c>
      <c r="B35" s="342" t="s">
        <v>576</v>
      </c>
      <c r="C35" s="361">
        <v>0</v>
      </c>
      <c r="D35" s="361">
        <v>0</v>
      </c>
      <c r="E35" s="365"/>
      <c r="F35" s="365"/>
      <c r="G35" s="365"/>
      <c r="H35" s="365"/>
      <c r="I35" s="361">
        <v>0</v>
      </c>
    </row>
    <row r="36" spans="1:15">
      <c r="A36" s="344">
        <v>20</v>
      </c>
      <c r="B36" s="342" t="s">
        <v>577</v>
      </c>
      <c r="C36" s="361">
        <v>0</v>
      </c>
      <c r="D36" s="361">
        <v>0</v>
      </c>
      <c r="E36" s="365"/>
      <c r="F36" s="365"/>
      <c r="G36" s="365"/>
      <c r="H36" s="365"/>
      <c r="I36" s="361">
        <v>0</v>
      </c>
    </row>
    <row r="37" spans="1:15">
      <c r="A37" s="344">
        <v>21</v>
      </c>
      <c r="B37" s="342" t="s">
        <v>578</v>
      </c>
      <c r="C37" s="361">
        <v>0</v>
      </c>
      <c r="D37" s="361">
        <v>0</v>
      </c>
      <c r="E37" s="365"/>
      <c r="F37" s="365"/>
      <c r="G37" s="365"/>
      <c r="H37" s="365"/>
      <c r="I37" s="361">
        <v>0</v>
      </c>
    </row>
    <row r="38" spans="1:15">
      <c r="A38" s="344">
        <v>22</v>
      </c>
      <c r="B38" s="342" t="s">
        <v>579</v>
      </c>
      <c r="C38" s="361">
        <v>0</v>
      </c>
      <c r="D38" s="361">
        <v>0</v>
      </c>
      <c r="E38" s="365"/>
      <c r="F38" s="365"/>
      <c r="G38" s="365"/>
      <c r="H38" s="365"/>
      <c r="I38" s="361">
        <v>0</v>
      </c>
    </row>
    <row r="39" spans="1:15">
      <c r="A39" s="344">
        <v>23</v>
      </c>
      <c r="B39" s="342" t="s">
        <v>580</v>
      </c>
      <c r="C39" s="361">
        <v>0</v>
      </c>
      <c r="D39" s="361">
        <v>0</v>
      </c>
      <c r="E39" s="365"/>
      <c r="F39" s="365"/>
      <c r="G39" s="365"/>
      <c r="H39" s="365"/>
      <c r="I39" s="361">
        <v>0</v>
      </c>
    </row>
    <row r="40" spans="1:15">
      <c r="A40" s="344">
        <v>24</v>
      </c>
      <c r="B40" s="342" t="s">
        <v>581</v>
      </c>
      <c r="C40" s="361">
        <v>0</v>
      </c>
      <c r="D40" s="361">
        <v>0</v>
      </c>
      <c r="E40" s="365"/>
      <c r="F40" s="365"/>
      <c r="G40" s="365"/>
      <c r="H40" s="365"/>
      <c r="I40" s="361">
        <v>0</v>
      </c>
    </row>
    <row r="41" spans="1:15">
      <c r="A41" s="344">
        <v>25</v>
      </c>
      <c r="B41" s="342" t="s">
        <v>582</v>
      </c>
      <c r="C41" s="361">
        <v>0</v>
      </c>
      <c r="D41" s="361">
        <v>0</v>
      </c>
      <c r="E41" s="365"/>
      <c r="F41" s="365"/>
      <c r="G41" s="365"/>
      <c r="H41" s="365"/>
      <c r="I41" s="361">
        <v>0</v>
      </c>
    </row>
    <row r="42" spans="1:15">
      <c r="A42" s="344">
        <v>26</v>
      </c>
      <c r="B42" s="342" t="s">
        <v>583</v>
      </c>
      <c r="C42" s="361">
        <v>0</v>
      </c>
      <c r="D42" s="361">
        <v>0</v>
      </c>
      <c r="E42" s="365"/>
      <c r="F42" s="365"/>
      <c r="G42" s="365"/>
      <c r="H42" s="365"/>
      <c r="I42" s="361">
        <v>0</v>
      </c>
    </row>
    <row r="43" spans="1:15">
      <c r="A43" s="344">
        <v>27</v>
      </c>
      <c r="B43" s="342" t="s">
        <v>584</v>
      </c>
      <c r="C43" s="361">
        <v>0</v>
      </c>
      <c r="D43" s="361">
        <v>0</v>
      </c>
      <c r="E43" s="361">
        <v>0</v>
      </c>
      <c r="F43" s="361"/>
      <c r="G43" s="361">
        <v>0</v>
      </c>
      <c r="H43" s="361">
        <v>0</v>
      </c>
      <c r="I43" s="361">
        <v>0</v>
      </c>
    </row>
    <row r="44" spans="1:15" ht="13.5" thickBot="1">
      <c r="A44" s="344">
        <v>28</v>
      </c>
      <c r="B44" s="343" t="s">
        <v>601</v>
      </c>
      <c r="C44" s="87">
        <f t="shared" ref="C44:I44" si="1">SUM(C31:C43)/13</f>
        <v>0</v>
      </c>
      <c r="D44" s="366">
        <f t="shared" si="1"/>
        <v>0</v>
      </c>
      <c r="E44" s="366">
        <f>(E31+E43)/2</f>
        <v>0</v>
      </c>
      <c r="F44" s="366">
        <f>'4a-Projection ADIT'!J95</f>
        <v>333</v>
      </c>
      <c r="G44" s="366">
        <f>(G31+G43)/2</f>
        <v>0</v>
      </c>
      <c r="H44" s="366">
        <f>(H31+H43)/2</f>
        <v>0</v>
      </c>
      <c r="I44" s="366">
        <f t="shared" si="1"/>
        <v>0</v>
      </c>
    </row>
    <row r="45" spans="1:15" ht="13.5" thickTop="1">
      <c r="A45" s="344"/>
      <c r="B45" s="342"/>
      <c r="I45" s="363"/>
    </row>
    <row r="46" spans="1:15">
      <c r="A46" s="344"/>
    </row>
    <row r="47" spans="1:15">
      <c r="F47" s="154" t="s">
        <v>546</v>
      </c>
    </row>
    <row r="48" spans="1:15">
      <c r="A48" s="344"/>
      <c r="B48" s="292"/>
      <c r="C48" s="367"/>
      <c r="D48" s="367"/>
      <c r="E48" s="367"/>
      <c r="F48" s="345" t="s">
        <v>547</v>
      </c>
      <c r="G48" s="367"/>
      <c r="L48" s="72"/>
      <c r="M48" s="72"/>
      <c r="N48" s="72"/>
      <c r="O48" s="72"/>
    </row>
    <row r="49" spans="1:16">
      <c r="A49" s="344"/>
      <c r="C49" s="367"/>
      <c r="D49" s="367"/>
      <c r="E49" s="367"/>
      <c r="F49" s="50" t="str">
        <f>'Attachment H'!$D$5</f>
        <v>NextEra Energy Transmission MidAtlantic Indiana, Inc.</v>
      </c>
      <c r="G49" s="367"/>
      <c r="K49" s="72"/>
      <c r="L49" s="72"/>
      <c r="M49" s="72"/>
      <c r="N49" s="72"/>
      <c r="O49" s="72"/>
    </row>
    <row r="50" spans="1:16">
      <c r="A50" s="344"/>
      <c r="B50" s="292" t="s">
        <v>602</v>
      </c>
      <c r="C50" s="367"/>
      <c r="D50" s="367"/>
      <c r="E50" s="367"/>
      <c r="F50" s="18"/>
      <c r="G50" s="367"/>
      <c r="K50" s="72"/>
      <c r="L50" s="72"/>
      <c r="M50" s="72"/>
      <c r="N50" s="72"/>
      <c r="O50" s="72"/>
    </row>
    <row r="51" spans="1:16">
      <c r="A51" s="344"/>
      <c r="B51" s="292" t="s">
        <v>536</v>
      </c>
      <c r="C51" s="292" t="s">
        <v>537</v>
      </c>
      <c r="D51" s="292" t="s">
        <v>538</v>
      </c>
      <c r="E51" s="292" t="s">
        <v>539</v>
      </c>
      <c r="F51" s="292" t="s">
        <v>559</v>
      </c>
      <c r="G51" s="292" t="s">
        <v>560</v>
      </c>
      <c r="H51" s="292" t="s">
        <v>561</v>
      </c>
      <c r="I51" s="292" t="s">
        <v>562</v>
      </c>
      <c r="J51" s="346" t="s">
        <v>391</v>
      </c>
      <c r="L51" s="72"/>
      <c r="M51" s="72"/>
      <c r="N51" s="72"/>
      <c r="O51" s="72"/>
      <c r="P51" s="72"/>
    </row>
    <row r="52" spans="1:16" ht="76.5">
      <c r="A52" s="344">
        <v>29</v>
      </c>
      <c r="B52" s="368" t="s">
        <v>603</v>
      </c>
      <c r="C52" s="369"/>
      <c r="D52" s="370" t="s">
        <v>17</v>
      </c>
      <c r="E52" s="370" t="s">
        <v>604</v>
      </c>
      <c r="F52" s="370" t="s">
        <v>605</v>
      </c>
      <c r="G52" s="370" t="s">
        <v>606</v>
      </c>
      <c r="H52" s="371" t="s">
        <v>607</v>
      </c>
      <c r="I52" s="371" t="s">
        <v>608</v>
      </c>
      <c r="J52" s="368"/>
      <c r="K52" s="368"/>
      <c r="L52" s="368"/>
      <c r="M52" s="72"/>
      <c r="N52" s="72"/>
      <c r="O52" s="72"/>
      <c r="P52" s="72"/>
    </row>
    <row r="53" spans="1:16">
      <c r="A53" s="344" t="s">
        <v>609</v>
      </c>
      <c r="C53" s="372" t="s">
        <v>610</v>
      </c>
      <c r="D53" s="373">
        <v>0</v>
      </c>
      <c r="E53" s="373">
        <v>0</v>
      </c>
      <c r="F53" s="374"/>
      <c r="G53" s="374"/>
      <c r="H53" s="373"/>
      <c r="I53" s="375">
        <f>+H53*E53*D53</f>
        <v>0</v>
      </c>
      <c r="M53" s="72"/>
      <c r="N53" s="72"/>
      <c r="O53" s="72"/>
      <c r="P53" s="72"/>
    </row>
    <row r="54" spans="1:16">
      <c r="A54" s="344" t="s">
        <v>611</v>
      </c>
      <c r="C54" s="372" t="s">
        <v>612</v>
      </c>
      <c r="D54" s="74">
        <v>0</v>
      </c>
      <c r="E54" s="373">
        <v>0</v>
      </c>
      <c r="F54" s="374"/>
      <c r="G54" s="374"/>
      <c r="H54" s="373"/>
      <c r="I54" s="375">
        <f>+H54*E54*D54</f>
        <v>0</v>
      </c>
      <c r="M54" s="72"/>
      <c r="N54" s="72"/>
      <c r="O54" s="72"/>
      <c r="P54" s="72"/>
    </row>
    <row r="55" spans="1:16">
      <c r="A55" s="344" t="s">
        <v>613</v>
      </c>
      <c r="C55" s="372" t="s">
        <v>614</v>
      </c>
      <c r="D55" s="74"/>
      <c r="E55" s="373"/>
      <c r="F55" s="374"/>
      <c r="G55" s="374"/>
      <c r="H55" s="373"/>
      <c r="I55" s="375"/>
      <c r="M55" s="72"/>
      <c r="N55" s="72"/>
      <c r="O55" s="72"/>
      <c r="P55" s="72"/>
    </row>
    <row r="56" spans="1:16">
      <c r="A56" s="344" t="s">
        <v>615</v>
      </c>
      <c r="C56" s="372" t="s">
        <v>616</v>
      </c>
      <c r="D56" s="74"/>
      <c r="E56" s="373"/>
      <c r="F56" s="374"/>
      <c r="G56" s="374"/>
      <c r="H56" s="373"/>
      <c r="I56" s="375"/>
      <c r="M56" s="72"/>
      <c r="N56" s="72"/>
      <c r="O56" s="72"/>
      <c r="P56" s="72"/>
    </row>
    <row r="57" spans="1:16">
      <c r="A57" s="344" t="s">
        <v>617</v>
      </c>
      <c r="C57" s="372" t="s">
        <v>618</v>
      </c>
      <c r="D57" s="74"/>
      <c r="E57" s="373"/>
      <c r="F57" s="374"/>
      <c r="G57" s="374"/>
      <c r="H57" s="373"/>
      <c r="I57" s="375"/>
      <c r="M57" s="72"/>
      <c r="N57" s="72"/>
      <c r="O57" s="72"/>
      <c r="P57" s="72"/>
    </row>
    <row r="58" spans="1:16">
      <c r="A58" s="344" t="s">
        <v>619</v>
      </c>
      <c r="C58" s="376" t="s">
        <v>618</v>
      </c>
      <c r="D58" s="377">
        <v>0</v>
      </c>
      <c r="E58" s="378">
        <v>0</v>
      </c>
      <c r="F58" s="379"/>
      <c r="G58" s="379"/>
      <c r="H58" s="378"/>
      <c r="I58" s="380">
        <f>+H58*E58*D58</f>
        <v>0</v>
      </c>
      <c r="M58" s="72"/>
      <c r="N58" s="72"/>
      <c r="O58" s="72"/>
      <c r="P58" s="72"/>
    </row>
    <row r="59" spans="1:16">
      <c r="A59" s="344">
        <v>31</v>
      </c>
      <c r="C59" s="368" t="s">
        <v>22</v>
      </c>
      <c r="D59" s="25">
        <f>SUM(D53:D58)</f>
        <v>0</v>
      </c>
      <c r="E59" s="101"/>
      <c r="F59" s="72"/>
      <c r="G59" s="72"/>
      <c r="H59" s="101"/>
      <c r="I59" s="375">
        <f>SUM(I53:I58)</f>
        <v>0</v>
      </c>
      <c r="M59" s="72"/>
      <c r="N59" s="72"/>
      <c r="O59" s="72"/>
      <c r="P59" s="72"/>
    </row>
    <row r="60" spans="1:16">
      <c r="A60" s="381"/>
      <c r="B60" s="382"/>
      <c r="C60" s="383"/>
      <c r="D60" s="383"/>
      <c r="E60" s="383"/>
      <c r="F60" s="383"/>
      <c r="G60" s="383"/>
    </row>
    <row r="61" spans="1:16">
      <c r="A61" s="381"/>
      <c r="B61" s="382"/>
      <c r="C61" s="383"/>
      <c r="D61" s="383"/>
      <c r="E61" s="383"/>
      <c r="F61" s="383"/>
      <c r="G61" s="383"/>
      <c r="L61" s="72"/>
      <c r="M61" s="72"/>
      <c r="N61" s="72"/>
      <c r="O61" s="72"/>
      <c r="P61" s="72"/>
    </row>
    <row r="62" spans="1:16">
      <c r="A62" s="381"/>
      <c r="B62" s="382"/>
      <c r="C62" s="383"/>
      <c r="D62" s="383"/>
      <c r="E62" s="383"/>
      <c r="F62" s="383"/>
      <c r="G62" s="383"/>
      <c r="L62" s="72"/>
      <c r="M62" s="72"/>
      <c r="N62" s="72"/>
      <c r="O62" s="72"/>
      <c r="P62" s="72"/>
    </row>
    <row r="63" spans="1:16">
      <c r="A63" s="344" t="s">
        <v>527</v>
      </c>
    </row>
    <row r="64" spans="1:16" ht="12.75" customHeight="1">
      <c r="A64" s="344" t="s">
        <v>431</v>
      </c>
      <c r="B64" s="384" t="s">
        <v>620</v>
      </c>
      <c r="C64" s="384"/>
      <c r="D64" s="384"/>
      <c r="E64" s="384"/>
      <c r="F64" s="384"/>
      <c r="G64" s="384"/>
      <c r="H64" s="384"/>
      <c r="I64" s="384"/>
      <c r="J64" s="384"/>
      <c r="K64" s="384"/>
    </row>
    <row r="65" spans="1:12" ht="12.75" customHeight="1">
      <c r="A65" s="344" t="s">
        <v>433</v>
      </c>
      <c r="B65" s="384" t="s">
        <v>621</v>
      </c>
      <c r="C65" s="384"/>
      <c r="D65" s="384"/>
      <c r="E65" s="384"/>
      <c r="F65" s="384"/>
      <c r="G65" s="384"/>
      <c r="H65" s="384"/>
      <c r="I65" s="384"/>
      <c r="J65" s="384"/>
      <c r="K65" s="384"/>
      <c r="L65" s="346"/>
    </row>
    <row r="66" spans="1:12" ht="12.75" customHeight="1">
      <c r="A66" s="344" t="s">
        <v>286</v>
      </c>
      <c r="B66" s="385" t="s">
        <v>622</v>
      </c>
      <c r="C66" s="386"/>
      <c r="D66" s="386"/>
      <c r="E66" s="386"/>
      <c r="F66" s="386"/>
      <c r="G66" s="386"/>
      <c r="H66" s="386"/>
      <c r="I66" s="386"/>
      <c r="J66" s="386"/>
      <c r="K66" s="386"/>
    </row>
    <row r="67" spans="1:12">
      <c r="A67" s="344"/>
      <c r="B67" s="6" t="s">
        <v>623</v>
      </c>
      <c r="C67" s="387"/>
      <c r="D67" s="387"/>
      <c r="E67" s="387"/>
      <c r="F67" s="387"/>
      <c r="G67" s="387"/>
      <c r="H67" s="387"/>
      <c r="I67" s="387"/>
      <c r="J67" s="387"/>
      <c r="K67" s="387"/>
    </row>
    <row r="68" spans="1:12">
      <c r="A68" s="344"/>
      <c r="B68" s="6" t="s">
        <v>624</v>
      </c>
      <c r="C68" s="387"/>
      <c r="D68" s="387"/>
      <c r="E68" s="387"/>
      <c r="F68" s="387"/>
      <c r="G68" s="387"/>
      <c r="H68" s="387"/>
      <c r="I68" s="387"/>
      <c r="J68" s="387"/>
      <c r="K68" s="387"/>
    </row>
    <row r="69" spans="1:12" ht="12.75" customHeight="1">
      <c r="A69" s="344" t="s">
        <v>288</v>
      </c>
      <c r="B69" s="3" t="s">
        <v>625</v>
      </c>
    </row>
    <row r="70" spans="1:12" ht="24" customHeight="1">
      <c r="A70" s="340" t="s">
        <v>290</v>
      </c>
      <c r="B70" s="388" t="s">
        <v>626</v>
      </c>
      <c r="C70" s="388"/>
      <c r="D70" s="388"/>
      <c r="E70" s="388"/>
      <c r="F70" s="388"/>
      <c r="G70" s="388"/>
      <c r="H70" s="388"/>
      <c r="I70" s="388"/>
      <c r="J70" s="388"/>
      <c r="K70" s="140"/>
    </row>
    <row r="71" spans="1:12" ht="12.75" customHeight="1">
      <c r="A71" s="344" t="s">
        <v>292</v>
      </c>
      <c r="B71" s="389" t="s">
        <v>627</v>
      </c>
      <c r="C71" s="389"/>
      <c r="D71" s="389"/>
      <c r="E71" s="389"/>
      <c r="F71" s="389"/>
      <c r="G71" s="389"/>
      <c r="H71" s="389"/>
      <c r="I71" s="389"/>
      <c r="J71" s="389"/>
      <c r="K71" s="389"/>
    </row>
    <row r="72" spans="1:12" ht="43.5" customHeight="1">
      <c r="A72" s="340" t="s">
        <v>294</v>
      </c>
      <c r="B72" s="388" t="s">
        <v>628</v>
      </c>
      <c r="C72" s="388"/>
      <c r="D72" s="388"/>
      <c r="E72" s="388"/>
      <c r="F72" s="388"/>
      <c r="G72" s="388"/>
      <c r="H72" s="388"/>
      <c r="I72" s="388"/>
      <c r="J72" s="388"/>
      <c r="K72" s="140"/>
    </row>
    <row r="73" spans="1:12">
      <c r="A73" s="344" t="s">
        <v>302</v>
      </c>
      <c r="B73" s="390" t="s">
        <v>322</v>
      </c>
    </row>
    <row r="76" spans="1:12">
      <c r="B76" s="5"/>
    </row>
    <row r="77" spans="1:12">
      <c r="B77" s="391"/>
    </row>
  </sheetData>
  <mergeCells count="9">
    <mergeCell ref="B70:J70"/>
    <mergeCell ref="B71:K71"/>
    <mergeCell ref="B72:J72"/>
    <mergeCell ref="C6:D6"/>
    <mergeCell ref="G6:H6"/>
    <mergeCell ref="I6:J6"/>
    <mergeCell ref="C26:I26"/>
    <mergeCell ref="B64:K64"/>
    <mergeCell ref="B65:K65"/>
  </mergeCells>
  <pageMargins left="0.25" right="0.25" top="0.75" bottom="0.75" header="0.3" footer="0.3"/>
  <pageSetup scale="58" fitToHeight="0" orientation="landscape" r:id="rId1"/>
  <rowBreaks count="1" manualBreakCount="1">
    <brk id="4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39FC-551A-4939-8D9B-C393529FFC6C}">
  <sheetPr>
    <pageSetUpPr fitToPage="1"/>
  </sheetPr>
  <dimension ref="A1:P129"/>
  <sheetViews>
    <sheetView topLeftCell="A10" zoomScale="70" zoomScaleNormal="70" workbookViewId="0">
      <selection activeCell="D253" sqref="D253"/>
    </sheetView>
  </sheetViews>
  <sheetFormatPr defaultColWidth="8.77734375" defaultRowHeight="15.75"/>
  <cols>
    <col min="1" max="1" width="5.21875" style="395" customWidth="1"/>
    <col min="2" max="2" width="10.77734375" style="395" customWidth="1"/>
    <col min="3" max="3" width="9.5546875" style="395" customWidth="1"/>
    <col min="4" max="4" width="10.109375" style="395" customWidth="1"/>
    <col min="5" max="5" width="12.44140625" style="395" customWidth="1"/>
    <col min="6" max="6" width="10.109375" style="395" customWidth="1"/>
    <col min="7" max="7" width="2.109375" style="395" customWidth="1"/>
    <col min="8" max="8" width="15.109375" style="395" customWidth="1"/>
    <col min="9" max="9" width="14.21875" style="395" customWidth="1"/>
    <col min="10" max="10" width="16.44140625" style="395" customWidth="1"/>
    <col min="11" max="11" width="13.44140625" style="395" customWidth="1"/>
    <col min="12" max="16384" width="8.77734375" style="395"/>
  </cols>
  <sheetData>
    <row r="1" spans="1:11" s="392" customFormat="1">
      <c r="B1" s="393" t="str">
        <f>'Attachment H'!$D$5</f>
        <v>NextEra Energy Transmission MidAtlantic Indiana, Inc.</v>
      </c>
      <c r="C1" s="393"/>
      <c r="D1" s="393"/>
      <c r="E1" s="393"/>
      <c r="F1" s="393"/>
      <c r="G1" s="393"/>
      <c r="H1" s="393"/>
      <c r="I1" s="393"/>
      <c r="J1" s="393"/>
      <c r="K1" s="393"/>
    </row>
    <row r="2" spans="1:11" s="392" customFormat="1">
      <c r="B2" s="393" t="s">
        <v>629</v>
      </c>
      <c r="C2" s="393"/>
      <c r="D2" s="393"/>
      <c r="E2" s="393"/>
      <c r="F2" s="393"/>
      <c r="G2" s="393"/>
      <c r="H2" s="393"/>
      <c r="I2" s="393"/>
      <c r="J2" s="393"/>
      <c r="K2" s="393"/>
    </row>
    <row r="3" spans="1:11" s="392" customFormat="1">
      <c r="B3" s="394" t="s">
        <v>630</v>
      </c>
      <c r="C3" s="394"/>
      <c r="D3" s="394"/>
      <c r="E3" s="394"/>
      <c r="F3" s="394"/>
      <c r="G3" s="394"/>
      <c r="H3" s="394"/>
      <c r="I3" s="394"/>
      <c r="J3" s="394"/>
      <c r="K3" s="394"/>
    </row>
    <row r="4" spans="1:11">
      <c r="J4" s="396" t="s">
        <v>631</v>
      </c>
      <c r="K4" s="397" t="s">
        <v>632</v>
      </c>
    </row>
    <row r="5" spans="1:11">
      <c r="A5" s="395">
        <v>1</v>
      </c>
      <c r="B5" s="398" t="s">
        <v>633</v>
      </c>
      <c r="H5" s="399"/>
      <c r="I5" s="399"/>
      <c r="J5" s="399"/>
      <c r="K5" s="399"/>
    </row>
    <row r="6" spans="1:11">
      <c r="A6" s="395">
        <f>+A5+1</f>
        <v>2</v>
      </c>
      <c r="B6" s="400" t="s">
        <v>634</v>
      </c>
      <c r="C6" s="401"/>
      <c r="D6" s="401"/>
      <c r="E6" s="401"/>
      <c r="F6" s="402"/>
      <c r="G6" s="403"/>
      <c r="H6" s="404" t="s">
        <v>635</v>
      </c>
      <c r="I6" s="405"/>
      <c r="J6" s="406"/>
      <c r="K6" s="399"/>
    </row>
    <row r="7" spans="1:11">
      <c r="B7" s="407" t="s">
        <v>431</v>
      </c>
      <c r="C7" s="407" t="s">
        <v>433</v>
      </c>
      <c r="D7" s="407" t="s">
        <v>286</v>
      </c>
      <c r="E7" s="407" t="s">
        <v>288</v>
      </c>
      <c r="F7" s="407" t="s">
        <v>290</v>
      </c>
      <c r="G7" s="403"/>
      <c r="H7" s="407" t="s">
        <v>292</v>
      </c>
      <c r="I7" s="407" t="s">
        <v>294</v>
      </c>
      <c r="J7" s="407" t="s">
        <v>302</v>
      </c>
      <c r="K7" s="408"/>
    </row>
    <row r="8" spans="1:11" ht="47.25">
      <c r="A8" s="395">
        <f>+A6+1</f>
        <v>3</v>
      </c>
      <c r="B8" s="409" t="s">
        <v>554</v>
      </c>
      <c r="C8" s="409" t="s">
        <v>636</v>
      </c>
      <c r="D8" s="409" t="s">
        <v>637</v>
      </c>
      <c r="E8" s="409" t="s">
        <v>638</v>
      </c>
      <c r="F8" s="409" t="s">
        <v>639</v>
      </c>
      <c r="G8" s="410"/>
      <c r="H8" s="409" t="s">
        <v>640</v>
      </c>
      <c r="I8" s="409" t="s">
        <v>641</v>
      </c>
      <c r="J8" s="409" t="s">
        <v>642</v>
      </c>
      <c r="K8" s="410"/>
    </row>
    <row r="9" spans="1:11">
      <c r="A9" s="395">
        <f t="shared" ref="A9:A23" si="0">+A8+1</f>
        <v>4</v>
      </c>
      <c r="C9" s="410"/>
      <c r="D9" s="410"/>
      <c r="E9" s="410"/>
      <c r="F9" s="410"/>
      <c r="G9" s="410"/>
      <c r="H9" s="410"/>
      <c r="I9" s="410"/>
      <c r="J9" s="410"/>
      <c r="K9" s="410"/>
    </row>
    <row r="10" spans="1:11">
      <c r="A10" s="395">
        <f t="shared" si="0"/>
        <v>5</v>
      </c>
      <c r="B10" s="411" t="s">
        <v>643</v>
      </c>
      <c r="C10" s="412"/>
      <c r="D10" s="413"/>
      <c r="E10" s="413"/>
      <c r="F10" s="413"/>
      <c r="G10" s="413"/>
      <c r="H10" s="414"/>
      <c r="I10" s="414"/>
      <c r="J10" s="415">
        <v>0</v>
      </c>
      <c r="K10" s="413"/>
    </row>
    <row r="11" spans="1:11">
      <c r="A11" s="395">
        <f t="shared" si="0"/>
        <v>6</v>
      </c>
      <c r="B11" s="412" t="s">
        <v>573</v>
      </c>
      <c r="C11" s="414">
        <v>31</v>
      </c>
      <c r="D11" s="416">
        <f>C11</f>
        <v>31</v>
      </c>
      <c r="E11" s="417">
        <f>D23-D11+1</f>
        <v>336</v>
      </c>
      <c r="F11" s="418">
        <f>IF(E11=0,0,E11/$D$23)</f>
        <v>0.91803278688524592</v>
      </c>
      <c r="G11" s="413"/>
      <c r="H11" s="415">
        <v>0</v>
      </c>
      <c r="I11" s="414">
        <f>+H11*F11</f>
        <v>0</v>
      </c>
      <c r="J11" s="414">
        <f t="shared" ref="J11:J22" si="1">+I11+J10</f>
        <v>0</v>
      </c>
      <c r="K11" s="413"/>
    </row>
    <row r="12" spans="1:11">
      <c r="A12" s="395">
        <f t="shared" si="0"/>
        <v>7</v>
      </c>
      <c r="B12" s="412" t="s">
        <v>574</v>
      </c>
      <c r="C12" s="415">
        <v>29</v>
      </c>
      <c r="D12" s="416">
        <f t="shared" ref="D12:D22" si="2">C12</f>
        <v>29</v>
      </c>
      <c r="E12" s="417">
        <f>$D$23-SUM($D$11:D12)+1</f>
        <v>307</v>
      </c>
      <c r="F12" s="418">
        <f t="shared" ref="F12:F22" si="3">IF(E12=0,0,E12/$D$23)</f>
        <v>0.83879781420765032</v>
      </c>
      <c r="G12" s="413"/>
      <c r="H12" s="415">
        <f t="shared" ref="H12:H22" si="4">+H11</f>
        <v>0</v>
      </c>
      <c r="I12" s="414">
        <f t="shared" ref="I12:I22" si="5">+H12*F12</f>
        <v>0</v>
      </c>
      <c r="J12" s="414">
        <f t="shared" si="1"/>
        <v>0</v>
      </c>
      <c r="K12" s="413"/>
    </row>
    <row r="13" spans="1:11">
      <c r="A13" s="395">
        <f t="shared" si="0"/>
        <v>8</v>
      </c>
      <c r="B13" s="412" t="s">
        <v>644</v>
      </c>
      <c r="C13" s="414">
        <v>31</v>
      </c>
      <c r="D13" s="416">
        <f t="shared" si="2"/>
        <v>31</v>
      </c>
      <c r="E13" s="417">
        <f>$D$23-SUM($D$11:D13)+1</f>
        <v>276</v>
      </c>
      <c r="F13" s="418">
        <f t="shared" si="3"/>
        <v>0.75409836065573765</v>
      </c>
      <c r="G13" s="413"/>
      <c r="H13" s="415">
        <f t="shared" si="4"/>
        <v>0</v>
      </c>
      <c r="I13" s="414">
        <f t="shared" si="5"/>
        <v>0</v>
      </c>
      <c r="J13" s="414">
        <f t="shared" si="1"/>
        <v>0</v>
      </c>
      <c r="K13" s="413"/>
    </row>
    <row r="14" spans="1:11">
      <c r="A14" s="395">
        <f t="shared" si="0"/>
        <v>9</v>
      </c>
      <c r="B14" s="412" t="s">
        <v>576</v>
      </c>
      <c r="C14" s="414">
        <v>30</v>
      </c>
      <c r="D14" s="416">
        <f t="shared" si="2"/>
        <v>30</v>
      </c>
      <c r="E14" s="417">
        <f>$D$23-SUM($D$11:D14)+1</f>
        <v>246</v>
      </c>
      <c r="F14" s="418">
        <f t="shared" si="3"/>
        <v>0.67213114754098358</v>
      </c>
      <c r="G14" s="413"/>
      <c r="H14" s="415">
        <f t="shared" si="4"/>
        <v>0</v>
      </c>
      <c r="I14" s="414">
        <f t="shared" si="5"/>
        <v>0</v>
      </c>
      <c r="J14" s="414">
        <f t="shared" si="1"/>
        <v>0</v>
      </c>
      <c r="K14" s="413"/>
    </row>
    <row r="15" spans="1:11">
      <c r="A15" s="395">
        <f t="shared" si="0"/>
        <v>10</v>
      </c>
      <c r="B15" s="412" t="s">
        <v>577</v>
      </c>
      <c r="C15" s="414">
        <v>31</v>
      </c>
      <c r="D15" s="416">
        <f t="shared" si="2"/>
        <v>31</v>
      </c>
      <c r="E15" s="417">
        <f>$D$23-SUM($D$11:D15)+1</f>
        <v>215</v>
      </c>
      <c r="F15" s="418">
        <f t="shared" si="3"/>
        <v>0.58743169398907102</v>
      </c>
      <c r="G15" s="413"/>
      <c r="H15" s="415">
        <f t="shared" si="4"/>
        <v>0</v>
      </c>
      <c r="I15" s="414">
        <f t="shared" si="5"/>
        <v>0</v>
      </c>
      <c r="J15" s="414">
        <f t="shared" si="1"/>
        <v>0</v>
      </c>
      <c r="K15" s="413"/>
    </row>
    <row r="16" spans="1:11">
      <c r="A16" s="395">
        <f t="shared" si="0"/>
        <v>11</v>
      </c>
      <c r="B16" s="412" t="s">
        <v>578</v>
      </c>
      <c r="C16" s="414">
        <v>30</v>
      </c>
      <c r="D16" s="416">
        <f t="shared" si="2"/>
        <v>30</v>
      </c>
      <c r="E16" s="417">
        <f>$D$23-SUM($D$11:D16)+1</f>
        <v>185</v>
      </c>
      <c r="F16" s="418">
        <f t="shared" si="3"/>
        <v>0.50546448087431695</v>
      </c>
      <c r="G16" s="413"/>
      <c r="H16" s="415">
        <f t="shared" si="4"/>
        <v>0</v>
      </c>
      <c r="I16" s="414">
        <f t="shared" si="5"/>
        <v>0</v>
      </c>
      <c r="J16" s="414">
        <f t="shared" si="1"/>
        <v>0</v>
      </c>
      <c r="K16" s="413"/>
    </row>
    <row r="17" spans="1:11">
      <c r="A17" s="395">
        <f t="shared" si="0"/>
        <v>12</v>
      </c>
      <c r="B17" s="412" t="s">
        <v>579</v>
      </c>
      <c r="C17" s="414">
        <v>31</v>
      </c>
      <c r="D17" s="416">
        <f t="shared" si="2"/>
        <v>31</v>
      </c>
      <c r="E17" s="417">
        <f>$D$23-SUM($D$11:D17)+1</f>
        <v>154</v>
      </c>
      <c r="F17" s="418">
        <f t="shared" si="3"/>
        <v>0.42076502732240439</v>
      </c>
      <c r="G17" s="413"/>
      <c r="H17" s="415">
        <f t="shared" si="4"/>
        <v>0</v>
      </c>
      <c r="I17" s="414">
        <f t="shared" si="5"/>
        <v>0</v>
      </c>
      <c r="J17" s="414">
        <f t="shared" si="1"/>
        <v>0</v>
      </c>
      <c r="K17" s="413"/>
    </row>
    <row r="18" spans="1:11">
      <c r="A18" s="395">
        <f t="shared" si="0"/>
        <v>13</v>
      </c>
      <c r="B18" s="412" t="s">
        <v>645</v>
      </c>
      <c r="C18" s="414">
        <v>31</v>
      </c>
      <c r="D18" s="416">
        <f t="shared" si="2"/>
        <v>31</v>
      </c>
      <c r="E18" s="417">
        <f>$D$23-SUM($D$11:D18)+1</f>
        <v>123</v>
      </c>
      <c r="F18" s="418">
        <f t="shared" si="3"/>
        <v>0.33606557377049179</v>
      </c>
      <c r="G18" s="413"/>
      <c r="H18" s="415">
        <f t="shared" si="4"/>
        <v>0</v>
      </c>
      <c r="I18" s="414">
        <f t="shared" si="5"/>
        <v>0</v>
      </c>
      <c r="J18" s="414">
        <f t="shared" si="1"/>
        <v>0</v>
      </c>
      <c r="K18" s="413"/>
    </row>
    <row r="19" spans="1:11">
      <c r="A19" s="395">
        <f t="shared" si="0"/>
        <v>14</v>
      </c>
      <c r="B19" s="412" t="s">
        <v>581</v>
      </c>
      <c r="C19" s="414">
        <v>30</v>
      </c>
      <c r="D19" s="416">
        <f t="shared" si="2"/>
        <v>30</v>
      </c>
      <c r="E19" s="417">
        <f>$D$23-SUM($D$11:D19)+1</f>
        <v>93</v>
      </c>
      <c r="F19" s="418">
        <f t="shared" si="3"/>
        <v>0.25409836065573771</v>
      </c>
      <c r="G19" s="413"/>
      <c r="H19" s="415">
        <f t="shared" si="4"/>
        <v>0</v>
      </c>
      <c r="I19" s="414">
        <f t="shared" si="5"/>
        <v>0</v>
      </c>
      <c r="J19" s="414">
        <f t="shared" si="1"/>
        <v>0</v>
      </c>
      <c r="K19" s="413"/>
    </row>
    <row r="20" spans="1:11">
      <c r="A20" s="395">
        <f t="shared" si="0"/>
        <v>15</v>
      </c>
      <c r="B20" s="412" t="s">
        <v>582</v>
      </c>
      <c r="C20" s="414">
        <v>31</v>
      </c>
      <c r="D20" s="416">
        <f t="shared" si="2"/>
        <v>31</v>
      </c>
      <c r="E20" s="417">
        <f>$D$23-SUM($D$11:D20)+1</f>
        <v>62</v>
      </c>
      <c r="F20" s="418">
        <f t="shared" si="3"/>
        <v>0.16939890710382513</v>
      </c>
      <c r="G20" s="413"/>
      <c r="H20" s="415">
        <f t="shared" si="4"/>
        <v>0</v>
      </c>
      <c r="I20" s="414">
        <f t="shared" si="5"/>
        <v>0</v>
      </c>
      <c r="J20" s="414">
        <f t="shared" si="1"/>
        <v>0</v>
      </c>
      <c r="K20" s="413"/>
    </row>
    <row r="21" spans="1:11">
      <c r="A21" s="395">
        <f t="shared" si="0"/>
        <v>16</v>
      </c>
      <c r="B21" s="412" t="s">
        <v>583</v>
      </c>
      <c r="C21" s="414">
        <v>30</v>
      </c>
      <c r="D21" s="416">
        <f t="shared" si="2"/>
        <v>30</v>
      </c>
      <c r="E21" s="417">
        <f>$D$23-SUM($D$11:D21)+1</f>
        <v>32</v>
      </c>
      <c r="F21" s="418">
        <f t="shared" si="3"/>
        <v>8.7431693989071038E-2</v>
      </c>
      <c r="G21" s="413"/>
      <c r="H21" s="415">
        <f t="shared" si="4"/>
        <v>0</v>
      </c>
      <c r="I21" s="414">
        <f t="shared" si="5"/>
        <v>0</v>
      </c>
      <c r="J21" s="414">
        <f t="shared" si="1"/>
        <v>0</v>
      </c>
      <c r="K21" s="413"/>
    </row>
    <row r="22" spans="1:11">
      <c r="A22" s="395">
        <f t="shared" si="0"/>
        <v>17</v>
      </c>
      <c r="B22" s="412" t="s">
        <v>646</v>
      </c>
      <c r="C22" s="414">
        <v>31</v>
      </c>
      <c r="D22" s="416">
        <f t="shared" si="2"/>
        <v>31</v>
      </c>
      <c r="E22" s="417">
        <f>$D$23-SUM($D$11:D22)+1</f>
        <v>1</v>
      </c>
      <c r="F22" s="418">
        <f t="shared" si="3"/>
        <v>2.7322404371584699E-3</v>
      </c>
      <c r="G22" s="413"/>
      <c r="H22" s="415">
        <f t="shared" si="4"/>
        <v>0</v>
      </c>
      <c r="I22" s="414">
        <f t="shared" si="5"/>
        <v>0</v>
      </c>
      <c r="J22" s="414">
        <f t="shared" si="1"/>
        <v>0</v>
      </c>
      <c r="K22" s="413"/>
    </row>
    <row r="23" spans="1:11">
      <c r="A23" s="395">
        <f t="shared" si="0"/>
        <v>18</v>
      </c>
      <c r="B23" s="419"/>
      <c r="C23" s="419" t="s">
        <v>22</v>
      </c>
      <c r="D23" s="420">
        <f>SUM(D11:D22)</f>
        <v>366</v>
      </c>
      <c r="E23" s="419"/>
      <c r="F23" s="421"/>
      <c r="G23" s="413"/>
      <c r="H23" s="422">
        <f>SUM(H11:H22)</f>
        <v>0</v>
      </c>
      <c r="I23" s="422">
        <f>SUM(I11:I22)</f>
        <v>0</v>
      </c>
      <c r="J23" s="421"/>
      <c r="K23" s="423"/>
    </row>
    <row r="24" spans="1:11">
      <c r="B24" s="424"/>
      <c r="C24" s="424"/>
      <c r="D24" s="424"/>
      <c r="E24" s="424"/>
      <c r="F24" s="423"/>
      <c r="G24" s="423"/>
      <c r="I24" s="425"/>
      <c r="J24" s="423"/>
      <c r="K24" s="423"/>
    </row>
    <row r="25" spans="1:11">
      <c r="A25" s="395">
        <f>+A23+1</f>
        <v>19</v>
      </c>
      <c r="B25" s="395" t="s">
        <v>647</v>
      </c>
      <c r="F25" s="395" t="s">
        <v>648</v>
      </c>
      <c r="G25" s="423"/>
      <c r="I25" s="423"/>
      <c r="J25" s="415">
        <v>0</v>
      </c>
    </row>
    <row r="26" spans="1:11">
      <c r="A26" s="395">
        <f>+A25+1</f>
        <v>20</v>
      </c>
      <c r="B26" s="395" t="s">
        <v>649</v>
      </c>
      <c r="F26" s="395" t="str">
        <f>"(Line "&amp;A25&amp;" less line "&amp;A27&amp;")"</f>
        <v>(Line 19 less line 21)</v>
      </c>
      <c r="G26" s="423"/>
      <c r="I26" s="423"/>
      <c r="J26" s="414">
        <f>+J25-J27</f>
        <v>0</v>
      </c>
    </row>
    <row r="27" spans="1:11">
      <c r="A27" s="395">
        <f t="shared" ref="A27:A33" si="6">+A26+1</f>
        <v>21</v>
      </c>
      <c r="B27" s="395" t="s">
        <v>650</v>
      </c>
      <c r="F27" s="395" t="str">
        <f>"(Line "&amp;A10&amp;", Col H)"</f>
        <v>(Line 5, Col H)</v>
      </c>
      <c r="G27" s="423"/>
      <c r="I27" s="423"/>
      <c r="J27" s="414">
        <f>+J10</f>
        <v>0</v>
      </c>
    </row>
    <row r="28" spans="1:11">
      <c r="A28" s="395">
        <f t="shared" si="6"/>
        <v>22</v>
      </c>
      <c r="B28" s="395" t="s">
        <v>651</v>
      </c>
      <c r="F28" s="395" t="s">
        <v>652</v>
      </c>
      <c r="G28" s="423"/>
      <c r="I28" s="423"/>
      <c r="J28" s="415">
        <v>0</v>
      </c>
    </row>
    <row r="29" spans="1:11">
      <c r="A29" s="395">
        <f t="shared" si="6"/>
        <v>23</v>
      </c>
      <c r="B29" s="395" t="str">
        <f>+B26</f>
        <v>Less non Prorated Items</v>
      </c>
      <c r="F29" s="395" t="str">
        <f>"(Line "&amp;A28&amp;" less line "&amp;A30&amp;")"</f>
        <v>(Line 22 less line 24)</v>
      </c>
      <c r="G29" s="423"/>
      <c r="I29" s="423"/>
      <c r="J29" s="414">
        <f>+J28-J30</f>
        <v>0</v>
      </c>
    </row>
    <row r="30" spans="1:11">
      <c r="A30" s="395">
        <f t="shared" si="6"/>
        <v>24</v>
      </c>
      <c r="B30" s="395" t="s">
        <v>653</v>
      </c>
      <c r="F30" s="395" t="str">
        <f>"(Line "&amp;A22&amp;", Col H)"</f>
        <v>(Line 17, Col H)</v>
      </c>
      <c r="G30" s="423"/>
      <c r="I30" s="423"/>
      <c r="J30" s="414">
        <f>+J22</f>
        <v>0</v>
      </c>
    </row>
    <row r="31" spans="1:11">
      <c r="A31" s="395">
        <f t="shared" si="6"/>
        <v>25</v>
      </c>
      <c r="B31" s="395" t="s">
        <v>654</v>
      </c>
      <c r="F31" s="395" t="str">
        <f>"([Lines "&amp;A27&amp;" + "&amp;A30&amp;"] /2)+([Lines "&amp;A26&amp;" +"&amp;A29&amp;")/2])"</f>
        <v>([Lines 21 + 24] /2)+([Lines 20 +23)/2])</v>
      </c>
      <c r="G31" s="423"/>
      <c r="I31" s="410"/>
      <c r="J31" s="422">
        <f>(J27+J30)/2+(J26+J29)/2</f>
        <v>0</v>
      </c>
    </row>
    <row r="32" spans="1:11">
      <c r="A32" s="395">
        <f t="shared" si="6"/>
        <v>26</v>
      </c>
      <c r="B32" s="395" t="s">
        <v>655</v>
      </c>
      <c r="F32" s="395" t="s">
        <v>656</v>
      </c>
      <c r="G32" s="423"/>
      <c r="I32" s="410"/>
      <c r="J32" s="415">
        <v>0</v>
      </c>
    </row>
    <row r="33" spans="1:10">
      <c r="A33" s="395">
        <f t="shared" si="6"/>
        <v>27</v>
      </c>
      <c r="B33" s="395" t="s">
        <v>657</v>
      </c>
      <c r="F33" s="395" t="str">
        <f>"(Line "&amp;A31&amp;" less line "&amp;A32&amp;")"</f>
        <v>(Line 25 less line 26)</v>
      </c>
      <c r="J33" s="426">
        <f>+J31-J32</f>
        <v>0</v>
      </c>
    </row>
    <row r="35" spans="1:10">
      <c r="B35" s="398"/>
    </row>
    <row r="36" spans="1:10">
      <c r="A36" s="395">
        <f>+A33+1</f>
        <v>28</v>
      </c>
      <c r="B36" s="398" t="s">
        <v>658</v>
      </c>
      <c r="H36" s="399"/>
      <c r="I36" s="399"/>
      <c r="J36" s="399"/>
    </row>
    <row r="37" spans="1:10">
      <c r="A37" s="395">
        <f>+A36+1</f>
        <v>29</v>
      </c>
      <c r="B37" s="400" t="s">
        <v>634</v>
      </c>
      <c r="C37" s="401"/>
      <c r="D37" s="401"/>
      <c r="E37" s="401"/>
      <c r="F37" s="402"/>
      <c r="G37" s="403"/>
      <c r="H37" s="404" t="s">
        <v>635</v>
      </c>
      <c r="I37" s="405"/>
      <c r="J37" s="406"/>
    </row>
    <row r="38" spans="1:10">
      <c r="B38" s="407" t="s">
        <v>431</v>
      </c>
      <c r="C38" s="407" t="s">
        <v>433</v>
      </c>
      <c r="D38" s="407" t="s">
        <v>286</v>
      </c>
      <c r="E38" s="407" t="s">
        <v>288</v>
      </c>
      <c r="F38" s="407" t="s">
        <v>290</v>
      </c>
      <c r="G38" s="403"/>
      <c r="H38" s="407" t="s">
        <v>292</v>
      </c>
      <c r="I38" s="407" t="s">
        <v>294</v>
      </c>
      <c r="J38" s="407" t="s">
        <v>302</v>
      </c>
    </row>
    <row r="39" spans="1:10" ht="47.25">
      <c r="A39" s="395">
        <f>+A37+1</f>
        <v>30</v>
      </c>
      <c r="B39" s="409" t="s">
        <v>554</v>
      </c>
      <c r="C39" s="409" t="s">
        <v>636</v>
      </c>
      <c r="D39" s="409" t="s">
        <v>637</v>
      </c>
      <c r="E39" s="409" t="s">
        <v>638</v>
      </c>
      <c r="F39" s="409" t="s">
        <v>639</v>
      </c>
      <c r="G39" s="410"/>
      <c r="H39" s="409" t="s">
        <v>640</v>
      </c>
      <c r="I39" s="409" t="s">
        <v>641</v>
      </c>
      <c r="J39" s="409" t="s">
        <v>642</v>
      </c>
    </row>
    <row r="40" spans="1:10">
      <c r="A40" s="395">
        <f t="shared" ref="A40:A54" si="7">+A39+1</f>
        <v>31</v>
      </c>
      <c r="C40" s="410"/>
      <c r="D40" s="410"/>
      <c r="E40" s="410"/>
      <c r="F40" s="410"/>
      <c r="G40" s="410"/>
      <c r="H40" s="410"/>
      <c r="I40" s="410"/>
      <c r="J40" s="410"/>
    </row>
    <row r="41" spans="1:10">
      <c r="A41" s="395">
        <f t="shared" si="7"/>
        <v>32</v>
      </c>
      <c r="B41" s="411" t="s">
        <v>643</v>
      </c>
      <c r="C41" s="412"/>
      <c r="D41" s="413"/>
      <c r="E41" s="413"/>
      <c r="F41" s="413"/>
      <c r="G41" s="413"/>
      <c r="H41" s="414"/>
      <c r="I41" s="414"/>
      <c r="J41" s="415">
        <v>0</v>
      </c>
    </row>
    <row r="42" spans="1:10">
      <c r="A42" s="395">
        <f t="shared" si="7"/>
        <v>33</v>
      </c>
      <c r="B42" s="412" t="s">
        <v>573</v>
      </c>
      <c r="C42" s="414">
        <v>31</v>
      </c>
      <c r="D42" s="416">
        <f>C42</f>
        <v>31</v>
      </c>
      <c r="E42" s="417">
        <f>D54-D42+1</f>
        <v>336</v>
      </c>
      <c r="F42" s="418">
        <f>IF(E42=0,0,E42/$D$54)</f>
        <v>0.91803278688524592</v>
      </c>
      <c r="G42" s="413"/>
      <c r="H42" s="415">
        <v>0</v>
      </c>
      <c r="I42" s="414">
        <f>+H42*F42</f>
        <v>0</v>
      </c>
      <c r="J42" s="414">
        <f t="shared" ref="J42:J53" si="8">+I42+J41</f>
        <v>0</v>
      </c>
    </row>
    <row r="43" spans="1:10">
      <c r="A43" s="395">
        <f t="shared" si="7"/>
        <v>34</v>
      </c>
      <c r="B43" s="412" t="s">
        <v>574</v>
      </c>
      <c r="C43" s="415">
        <f>C12</f>
        <v>29</v>
      </c>
      <c r="D43" s="416">
        <f t="shared" ref="D43:D53" si="9">C43</f>
        <v>29</v>
      </c>
      <c r="E43" s="417">
        <f>$D$23-SUM($D$42:D43)+1</f>
        <v>307</v>
      </c>
      <c r="F43" s="418">
        <f t="shared" ref="F43:F53" si="10">IF(E43=0,0,E43/$D$54)</f>
        <v>0.83879781420765032</v>
      </c>
      <c r="G43" s="413"/>
      <c r="H43" s="415">
        <f t="shared" ref="H43:H53" si="11">+H42</f>
        <v>0</v>
      </c>
      <c r="I43" s="414">
        <f t="shared" ref="I43:I53" si="12">+H43*F43</f>
        <v>0</v>
      </c>
      <c r="J43" s="414">
        <f t="shared" si="8"/>
        <v>0</v>
      </c>
    </row>
    <row r="44" spans="1:10">
      <c r="A44" s="395">
        <f t="shared" si="7"/>
        <v>35</v>
      </c>
      <c r="B44" s="412" t="s">
        <v>644</v>
      </c>
      <c r="C44" s="414">
        <v>31</v>
      </c>
      <c r="D44" s="416">
        <f t="shared" si="9"/>
        <v>31</v>
      </c>
      <c r="E44" s="417">
        <f>$D$23-SUM($D$42:D44)+1</f>
        <v>276</v>
      </c>
      <c r="F44" s="418">
        <f t="shared" si="10"/>
        <v>0.75409836065573765</v>
      </c>
      <c r="G44" s="413"/>
      <c r="H44" s="415">
        <f t="shared" si="11"/>
        <v>0</v>
      </c>
      <c r="I44" s="414">
        <f t="shared" si="12"/>
        <v>0</v>
      </c>
      <c r="J44" s="414">
        <f t="shared" si="8"/>
        <v>0</v>
      </c>
    </row>
    <row r="45" spans="1:10">
      <c r="A45" s="395">
        <f t="shared" si="7"/>
        <v>36</v>
      </c>
      <c r="B45" s="412" t="s">
        <v>576</v>
      </c>
      <c r="C45" s="414">
        <v>30</v>
      </c>
      <c r="D45" s="416">
        <f t="shared" si="9"/>
        <v>30</v>
      </c>
      <c r="E45" s="417">
        <f>$D$23-SUM($D$42:D45)+1</f>
        <v>246</v>
      </c>
      <c r="F45" s="418">
        <f t="shared" si="10"/>
        <v>0.67213114754098358</v>
      </c>
      <c r="G45" s="413"/>
      <c r="H45" s="415">
        <f t="shared" si="11"/>
        <v>0</v>
      </c>
      <c r="I45" s="414">
        <f t="shared" si="12"/>
        <v>0</v>
      </c>
      <c r="J45" s="414">
        <f t="shared" si="8"/>
        <v>0</v>
      </c>
    </row>
    <row r="46" spans="1:10">
      <c r="A46" s="395">
        <f t="shared" si="7"/>
        <v>37</v>
      </c>
      <c r="B46" s="412" t="s">
        <v>577</v>
      </c>
      <c r="C46" s="414">
        <v>31</v>
      </c>
      <c r="D46" s="416">
        <f t="shared" si="9"/>
        <v>31</v>
      </c>
      <c r="E46" s="417">
        <f>$D$23-SUM($D$42:D46)+1</f>
        <v>215</v>
      </c>
      <c r="F46" s="418">
        <f t="shared" si="10"/>
        <v>0.58743169398907102</v>
      </c>
      <c r="G46" s="413"/>
      <c r="H46" s="415">
        <f t="shared" si="11"/>
        <v>0</v>
      </c>
      <c r="I46" s="414">
        <f t="shared" si="12"/>
        <v>0</v>
      </c>
      <c r="J46" s="414">
        <f t="shared" si="8"/>
        <v>0</v>
      </c>
    </row>
    <row r="47" spans="1:10">
      <c r="A47" s="395">
        <f t="shared" si="7"/>
        <v>38</v>
      </c>
      <c r="B47" s="412" t="s">
        <v>578</v>
      </c>
      <c r="C47" s="414">
        <v>30</v>
      </c>
      <c r="D47" s="416">
        <f t="shared" si="9"/>
        <v>30</v>
      </c>
      <c r="E47" s="417">
        <f>$D$23-SUM($D$42:D47)+1</f>
        <v>185</v>
      </c>
      <c r="F47" s="418">
        <f t="shared" si="10"/>
        <v>0.50546448087431695</v>
      </c>
      <c r="G47" s="413"/>
      <c r="H47" s="415">
        <f t="shared" si="11"/>
        <v>0</v>
      </c>
      <c r="I47" s="414">
        <f t="shared" si="12"/>
        <v>0</v>
      </c>
      <c r="J47" s="414">
        <f t="shared" si="8"/>
        <v>0</v>
      </c>
    </row>
    <row r="48" spans="1:10">
      <c r="A48" s="395">
        <f t="shared" si="7"/>
        <v>39</v>
      </c>
      <c r="B48" s="412" t="s">
        <v>579</v>
      </c>
      <c r="C48" s="414">
        <v>31</v>
      </c>
      <c r="D48" s="416">
        <f t="shared" si="9"/>
        <v>31</v>
      </c>
      <c r="E48" s="417">
        <f>$D$23-SUM($D$42:D48)+1</f>
        <v>154</v>
      </c>
      <c r="F48" s="418">
        <f t="shared" si="10"/>
        <v>0.42076502732240439</v>
      </c>
      <c r="G48" s="413"/>
      <c r="H48" s="415">
        <f t="shared" si="11"/>
        <v>0</v>
      </c>
      <c r="I48" s="414">
        <f t="shared" si="12"/>
        <v>0</v>
      </c>
      <c r="J48" s="414">
        <f t="shared" si="8"/>
        <v>0</v>
      </c>
    </row>
    <row r="49" spans="1:10">
      <c r="A49" s="395">
        <f t="shared" si="7"/>
        <v>40</v>
      </c>
      <c r="B49" s="412" t="s">
        <v>645</v>
      </c>
      <c r="C49" s="414">
        <v>31</v>
      </c>
      <c r="D49" s="416">
        <f t="shared" si="9"/>
        <v>31</v>
      </c>
      <c r="E49" s="417">
        <f>$D$23-SUM($D$42:D49)+1</f>
        <v>123</v>
      </c>
      <c r="F49" s="418">
        <f t="shared" si="10"/>
        <v>0.33606557377049179</v>
      </c>
      <c r="G49" s="413"/>
      <c r="H49" s="415">
        <f t="shared" si="11"/>
        <v>0</v>
      </c>
      <c r="I49" s="414">
        <f t="shared" si="12"/>
        <v>0</v>
      </c>
      <c r="J49" s="414">
        <f t="shared" si="8"/>
        <v>0</v>
      </c>
    </row>
    <row r="50" spans="1:10">
      <c r="A50" s="395">
        <f t="shared" si="7"/>
        <v>41</v>
      </c>
      <c r="B50" s="412" t="s">
        <v>581</v>
      </c>
      <c r="C50" s="414">
        <v>30</v>
      </c>
      <c r="D50" s="416">
        <f t="shared" si="9"/>
        <v>30</v>
      </c>
      <c r="E50" s="417">
        <f>$D$23-SUM($D$42:D50)+1</f>
        <v>93</v>
      </c>
      <c r="F50" s="418">
        <f t="shared" si="10"/>
        <v>0.25409836065573771</v>
      </c>
      <c r="G50" s="413"/>
      <c r="H50" s="415">
        <f t="shared" si="11"/>
        <v>0</v>
      </c>
      <c r="I50" s="414">
        <f t="shared" si="12"/>
        <v>0</v>
      </c>
      <c r="J50" s="414">
        <f t="shared" si="8"/>
        <v>0</v>
      </c>
    </row>
    <row r="51" spans="1:10">
      <c r="A51" s="395">
        <f t="shared" si="7"/>
        <v>42</v>
      </c>
      <c r="B51" s="412" t="s">
        <v>582</v>
      </c>
      <c r="C51" s="414">
        <v>31</v>
      </c>
      <c r="D51" s="416">
        <f t="shared" si="9"/>
        <v>31</v>
      </c>
      <c r="E51" s="417">
        <f>$D$23-SUM($D$42:D51)+1</f>
        <v>62</v>
      </c>
      <c r="F51" s="418">
        <f t="shared" si="10"/>
        <v>0.16939890710382513</v>
      </c>
      <c r="G51" s="413"/>
      <c r="H51" s="415">
        <f t="shared" si="11"/>
        <v>0</v>
      </c>
      <c r="I51" s="414">
        <f t="shared" si="12"/>
        <v>0</v>
      </c>
      <c r="J51" s="414">
        <f t="shared" si="8"/>
        <v>0</v>
      </c>
    </row>
    <row r="52" spans="1:10">
      <c r="A52" s="395">
        <f t="shared" si="7"/>
        <v>43</v>
      </c>
      <c r="B52" s="412" t="s">
        <v>583</v>
      </c>
      <c r="C52" s="414">
        <v>30</v>
      </c>
      <c r="D52" s="416">
        <f t="shared" si="9"/>
        <v>30</v>
      </c>
      <c r="E52" s="417">
        <f>$D$23-SUM($D$42:D52)+1</f>
        <v>32</v>
      </c>
      <c r="F52" s="418">
        <f t="shared" si="10"/>
        <v>8.7431693989071038E-2</v>
      </c>
      <c r="G52" s="413"/>
      <c r="H52" s="415">
        <f t="shared" si="11"/>
        <v>0</v>
      </c>
      <c r="I52" s="414">
        <f t="shared" si="12"/>
        <v>0</v>
      </c>
      <c r="J52" s="414">
        <f t="shared" si="8"/>
        <v>0</v>
      </c>
    </row>
    <row r="53" spans="1:10">
      <c r="A53" s="395">
        <f t="shared" si="7"/>
        <v>44</v>
      </c>
      <c r="B53" s="412" t="s">
        <v>646</v>
      </c>
      <c r="C53" s="414">
        <v>31</v>
      </c>
      <c r="D53" s="416">
        <f t="shared" si="9"/>
        <v>31</v>
      </c>
      <c r="E53" s="417">
        <f>$D$23-SUM($D$42:D53)+1</f>
        <v>1</v>
      </c>
      <c r="F53" s="418">
        <f t="shared" si="10"/>
        <v>2.7322404371584699E-3</v>
      </c>
      <c r="G53" s="413"/>
      <c r="H53" s="415">
        <f t="shared" si="11"/>
        <v>0</v>
      </c>
      <c r="I53" s="414">
        <f t="shared" si="12"/>
        <v>0</v>
      </c>
      <c r="J53" s="414">
        <f t="shared" si="8"/>
        <v>0</v>
      </c>
    </row>
    <row r="54" spans="1:10">
      <c r="A54" s="395">
        <f t="shared" si="7"/>
        <v>45</v>
      </c>
      <c r="B54" s="419"/>
      <c r="C54" s="419" t="s">
        <v>22</v>
      </c>
      <c r="D54" s="420">
        <f>SUM(D42:D53)</f>
        <v>366</v>
      </c>
      <c r="E54" s="419"/>
      <c r="F54" s="421"/>
      <c r="G54" s="413"/>
      <c r="H54" s="422">
        <f>SUM(H42:H53)</f>
        <v>0</v>
      </c>
      <c r="I54" s="422">
        <f>SUM(I42:I53)</f>
        <v>0</v>
      </c>
      <c r="J54" s="421"/>
    </row>
    <row r="55" spans="1:10">
      <c r="B55" s="424"/>
      <c r="C55" s="424"/>
      <c r="D55" s="424"/>
      <c r="E55" s="424"/>
      <c r="F55" s="423"/>
      <c r="G55" s="423"/>
      <c r="I55" s="425"/>
      <c r="J55" s="423"/>
    </row>
    <row r="56" spans="1:10">
      <c r="A56" s="395">
        <f>+A54+1</f>
        <v>46</v>
      </c>
      <c r="B56" s="395" t="s">
        <v>647</v>
      </c>
      <c r="F56" s="395" t="s">
        <v>659</v>
      </c>
      <c r="G56" s="423"/>
      <c r="I56" s="423"/>
      <c r="J56" s="415">
        <v>0</v>
      </c>
    </row>
    <row r="57" spans="1:10">
      <c r="A57" s="395">
        <f>+A56+1</f>
        <v>47</v>
      </c>
      <c r="B57" s="395" t="s">
        <v>649</v>
      </c>
      <c r="F57" s="395" t="str">
        <f>"(Line "&amp;A56&amp;" less line "&amp;A58&amp;")"</f>
        <v>(Line 46 less line 48)</v>
      </c>
      <c r="G57" s="423"/>
      <c r="I57" s="423"/>
      <c r="J57" s="414">
        <f>+J56-J58</f>
        <v>0</v>
      </c>
    </row>
    <row r="58" spans="1:10">
      <c r="A58" s="395">
        <f t="shared" ref="A58:A64" si="13">+A57+1</f>
        <v>48</v>
      </c>
      <c r="B58" s="395" t="s">
        <v>650</v>
      </c>
      <c r="F58" s="395" t="str">
        <f>"(Line "&amp;A41&amp;", Col H)"</f>
        <v>(Line 32, Col H)</v>
      </c>
      <c r="G58" s="423"/>
      <c r="I58" s="423"/>
      <c r="J58" s="414">
        <f>+J41</f>
        <v>0</v>
      </c>
    </row>
    <row r="59" spans="1:10">
      <c r="A59" s="395">
        <f t="shared" si="13"/>
        <v>49</v>
      </c>
      <c r="B59" s="395" t="s">
        <v>651</v>
      </c>
      <c r="F59" s="395" t="s">
        <v>660</v>
      </c>
      <c r="G59" s="423"/>
      <c r="I59" s="423"/>
      <c r="J59" s="415">
        <v>0</v>
      </c>
    </row>
    <row r="60" spans="1:10">
      <c r="A60" s="395">
        <f t="shared" si="13"/>
        <v>50</v>
      </c>
      <c r="B60" s="395" t="str">
        <f>+B57</f>
        <v>Less non Prorated Items</v>
      </c>
      <c r="F60" s="395" t="str">
        <f>"(Line "&amp;A59&amp;" less line "&amp;A61&amp;")"</f>
        <v>(Line 49 less line 51)</v>
      </c>
      <c r="G60" s="423"/>
      <c r="I60" s="423"/>
      <c r="J60" s="414">
        <f>+J59-J61</f>
        <v>0</v>
      </c>
    </row>
    <row r="61" spans="1:10">
      <c r="A61" s="395">
        <f t="shared" si="13"/>
        <v>51</v>
      </c>
      <c r="B61" s="395" t="s">
        <v>653</v>
      </c>
      <c r="F61" s="395" t="str">
        <f>"(Line "&amp;A53&amp;", Col H)"</f>
        <v>(Line 44, Col H)</v>
      </c>
      <c r="G61" s="423"/>
      <c r="I61" s="423"/>
      <c r="J61" s="414">
        <f>+J53</f>
        <v>0</v>
      </c>
    </row>
    <row r="62" spans="1:10">
      <c r="A62" s="395">
        <f t="shared" si="13"/>
        <v>52</v>
      </c>
      <c r="B62" s="395" t="s">
        <v>654</v>
      </c>
      <c r="F62" s="395" t="str">
        <f>"([Lines "&amp;A58&amp;" + "&amp;A61&amp;"] /2)+([Lines "&amp;A57&amp;" +"&amp;A60&amp;")/2])"</f>
        <v>([Lines 48 + 51] /2)+([Lines 47 +50)/2])</v>
      </c>
      <c r="G62" s="423"/>
      <c r="I62" s="410"/>
      <c r="J62" s="422">
        <f>(J58+J61)/2+(J57+J60)/2</f>
        <v>0</v>
      </c>
    </row>
    <row r="63" spans="1:10">
      <c r="A63" s="395">
        <f t="shared" si="13"/>
        <v>53</v>
      </c>
      <c r="B63" s="395" t="s">
        <v>655</v>
      </c>
      <c r="F63" s="395" t="s">
        <v>656</v>
      </c>
      <c r="G63" s="423"/>
      <c r="I63" s="410"/>
      <c r="J63" s="415">
        <v>0</v>
      </c>
    </row>
    <row r="64" spans="1:10">
      <c r="A64" s="395">
        <f t="shared" si="13"/>
        <v>54</v>
      </c>
      <c r="B64" s="395" t="s">
        <v>657</v>
      </c>
      <c r="F64" s="395" t="str">
        <f>"(Line "&amp;A62&amp;" less line "&amp;A63&amp;")"</f>
        <v>(Line 52 less line 53)</v>
      </c>
      <c r="J64" s="426">
        <f>+J62-J63</f>
        <v>0</v>
      </c>
    </row>
    <row r="66" spans="1:16">
      <c r="B66" s="398"/>
    </row>
    <row r="67" spans="1:16">
      <c r="A67" s="395">
        <f>+A64+1</f>
        <v>55</v>
      </c>
      <c r="B67" s="398" t="s">
        <v>661</v>
      </c>
      <c r="H67" s="399"/>
      <c r="I67" s="399"/>
      <c r="J67" s="399"/>
    </row>
    <row r="68" spans="1:16">
      <c r="A68" s="395">
        <f>+A67+1</f>
        <v>56</v>
      </c>
      <c r="B68" s="400" t="s">
        <v>634</v>
      </c>
      <c r="C68" s="401"/>
      <c r="D68" s="401"/>
      <c r="E68" s="401"/>
      <c r="F68" s="402"/>
      <c r="G68" s="403"/>
      <c r="H68" s="404" t="s">
        <v>635</v>
      </c>
      <c r="I68" s="405"/>
      <c r="J68" s="406"/>
    </row>
    <row r="69" spans="1:16">
      <c r="B69" s="407" t="s">
        <v>431</v>
      </c>
      <c r="C69" s="407" t="s">
        <v>433</v>
      </c>
      <c r="D69" s="407" t="s">
        <v>286</v>
      </c>
      <c r="E69" s="407" t="s">
        <v>288</v>
      </c>
      <c r="F69" s="407" t="s">
        <v>290</v>
      </c>
      <c r="G69" s="403"/>
      <c r="H69" s="407" t="s">
        <v>292</v>
      </c>
      <c r="I69" s="407" t="s">
        <v>294</v>
      </c>
      <c r="J69" s="407" t="s">
        <v>302</v>
      </c>
    </row>
    <row r="70" spans="1:16" ht="47.25">
      <c r="A70" s="395">
        <f>+A68+1</f>
        <v>57</v>
      </c>
      <c r="B70" s="409" t="s">
        <v>554</v>
      </c>
      <c r="C70" s="409" t="s">
        <v>636</v>
      </c>
      <c r="D70" s="409" t="s">
        <v>637</v>
      </c>
      <c r="E70" s="409" t="s">
        <v>638</v>
      </c>
      <c r="F70" s="409" t="s">
        <v>639</v>
      </c>
      <c r="G70" s="410"/>
      <c r="H70" s="409" t="s">
        <v>640</v>
      </c>
      <c r="I70" s="409" t="s">
        <v>641</v>
      </c>
      <c r="J70" s="409" t="s">
        <v>642</v>
      </c>
    </row>
    <row r="71" spans="1:16">
      <c r="A71" s="395">
        <f t="shared" ref="A71:A85" si="14">+A70+1</f>
        <v>58</v>
      </c>
      <c r="C71" s="410"/>
      <c r="D71" s="410"/>
      <c r="E71" s="410"/>
      <c r="F71" s="410"/>
      <c r="G71" s="410"/>
      <c r="H71" s="410"/>
      <c r="I71" s="410"/>
      <c r="J71" s="410"/>
    </row>
    <row r="72" spans="1:16">
      <c r="A72" s="395">
        <f t="shared" si="14"/>
        <v>59</v>
      </c>
      <c r="B72" s="411" t="s">
        <v>643</v>
      </c>
      <c r="C72" s="412"/>
      <c r="D72" s="413"/>
      <c r="E72" s="413"/>
      <c r="F72" s="413"/>
      <c r="G72" s="413"/>
      <c r="H72" s="414"/>
      <c r="I72" s="414"/>
      <c r="J72" s="415"/>
      <c r="K72" s="427"/>
    </row>
    <row r="73" spans="1:16">
      <c r="A73" s="395">
        <f t="shared" si="14"/>
        <v>60</v>
      </c>
      <c r="B73" s="412" t="s">
        <v>573</v>
      </c>
      <c r="C73" s="414">
        <v>31</v>
      </c>
      <c r="D73" s="416">
        <f>C73</f>
        <v>31</v>
      </c>
      <c r="E73" s="417">
        <f>D85-D73+1</f>
        <v>336</v>
      </c>
      <c r="F73" s="418">
        <f>IF(E73=0,0,E73/$D$85)</f>
        <v>0.91803278688524592</v>
      </c>
      <c r="G73" s="413"/>
      <c r="H73" s="415">
        <v>0</v>
      </c>
      <c r="I73" s="414">
        <f>+H73*F73</f>
        <v>0</v>
      </c>
      <c r="J73" s="414">
        <f t="shared" ref="J73:J83" si="15">+I73+J72</f>
        <v>0</v>
      </c>
      <c r="L73" s="428"/>
      <c r="M73" s="429"/>
    </row>
    <row r="74" spans="1:16">
      <c r="A74" s="395">
        <f t="shared" si="14"/>
        <v>61</v>
      </c>
      <c r="B74" s="412" t="s">
        <v>574</v>
      </c>
      <c r="C74" s="415">
        <f>C12</f>
        <v>29</v>
      </c>
      <c r="D74" s="416">
        <f t="shared" ref="D74:D84" si="16">C74</f>
        <v>29</v>
      </c>
      <c r="E74" s="417">
        <f>$D$23-SUM($D$73:D74)+1</f>
        <v>307</v>
      </c>
      <c r="F74" s="418">
        <f t="shared" ref="F74:F84" si="17">IF(E74=0,0,E74/$D$85)</f>
        <v>0.83879781420765032</v>
      </c>
      <c r="G74" s="430"/>
      <c r="H74" s="415">
        <f t="shared" ref="H74:H82" si="18">+H73</f>
        <v>0</v>
      </c>
      <c r="I74" s="414">
        <f t="shared" ref="I74:I82" si="19">+H74*F74</f>
        <v>0</v>
      </c>
      <c r="J74" s="414">
        <f t="shared" si="15"/>
        <v>0</v>
      </c>
      <c r="L74" s="428"/>
      <c r="M74" s="428"/>
    </row>
    <row r="75" spans="1:16">
      <c r="A75" s="395">
        <f t="shared" si="14"/>
        <v>62</v>
      </c>
      <c r="B75" s="412" t="s">
        <v>644</v>
      </c>
      <c r="C75" s="414">
        <v>31</v>
      </c>
      <c r="D75" s="416">
        <f t="shared" si="16"/>
        <v>31</v>
      </c>
      <c r="E75" s="417">
        <f>$D$23-SUM($D$73:D75)+1</f>
        <v>276</v>
      </c>
      <c r="F75" s="418">
        <f t="shared" si="17"/>
        <v>0.75409836065573765</v>
      </c>
      <c r="G75" s="430"/>
      <c r="H75" s="415">
        <f t="shared" si="18"/>
        <v>0</v>
      </c>
      <c r="I75" s="414">
        <f t="shared" si="19"/>
        <v>0</v>
      </c>
      <c r="J75" s="414">
        <f t="shared" si="15"/>
        <v>0</v>
      </c>
      <c r="L75" s="428"/>
      <c r="M75" s="428"/>
    </row>
    <row r="76" spans="1:16">
      <c r="A76" s="395">
        <f t="shared" si="14"/>
        <v>63</v>
      </c>
      <c r="B76" s="412" t="s">
        <v>576</v>
      </c>
      <c r="C76" s="414">
        <v>30</v>
      </c>
      <c r="D76" s="416">
        <f t="shared" si="16"/>
        <v>30</v>
      </c>
      <c r="E76" s="417">
        <f>$D$23-SUM($D$73:D76)+1</f>
        <v>246</v>
      </c>
      <c r="F76" s="418">
        <f t="shared" si="17"/>
        <v>0.67213114754098358</v>
      </c>
      <c r="G76" s="430"/>
      <c r="H76" s="415">
        <f t="shared" si="18"/>
        <v>0</v>
      </c>
      <c r="I76" s="414">
        <f t="shared" si="19"/>
        <v>0</v>
      </c>
      <c r="J76" s="414">
        <f t="shared" si="15"/>
        <v>0</v>
      </c>
      <c r="L76" s="428"/>
      <c r="M76" s="428"/>
    </row>
    <row r="77" spans="1:16">
      <c r="A77" s="395">
        <f t="shared" si="14"/>
        <v>64</v>
      </c>
      <c r="B77" s="412" t="s">
        <v>577</v>
      </c>
      <c r="C77" s="414">
        <v>31</v>
      </c>
      <c r="D77" s="416">
        <f t="shared" si="16"/>
        <v>31</v>
      </c>
      <c r="E77" s="417">
        <f>$D$23-SUM($D$73:D77)+1</f>
        <v>215</v>
      </c>
      <c r="F77" s="418">
        <f t="shared" si="17"/>
        <v>0.58743169398907102</v>
      </c>
      <c r="G77" s="430"/>
      <c r="H77" s="415">
        <f t="shared" si="18"/>
        <v>0</v>
      </c>
      <c r="I77" s="414">
        <f t="shared" si="19"/>
        <v>0</v>
      </c>
      <c r="J77" s="414">
        <f t="shared" si="15"/>
        <v>0</v>
      </c>
      <c r="L77" s="428"/>
      <c r="M77" s="428"/>
    </row>
    <row r="78" spans="1:16">
      <c r="A78" s="395">
        <f t="shared" si="14"/>
        <v>65</v>
      </c>
      <c r="B78" s="412" t="s">
        <v>578</v>
      </c>
      <c r="C78" s="414">
        <v>30</v>
      </c>
      <c r="D78" s="416">
        <f t="shared" si="16"/>
        <v>30</v>
      </c>
      <c r="E78" s="417">
        <f>$D$23-SUM($D$73:D78)+1</f>
        <v>185</v>
      </c>
      <c r="F78" s="418">
        <f t="shared" si="17"/>
        <v>0.50546448087431695</v>
      </c>
      <c r="G78" s="430"/>
      <c r="H78" s="415">
        <f t="shared" si="18"/>
        <v>0</v>
      </c>
      <c r="I78" s="414">
        <f t="shared" si="19"/>
        <v>0</v>
      </c>
      <c r="J78" s="414">
        <f t="shared" si="15"/>
        <v>0</v>
      </c>
      <c r="L78" s="428"/>
      <c r="M78" s="428"/>
    </row>
    <row r="79" spans="1:16">
      <c r="A79" s="395">
        <f t="shared" si="14"/>
        <v>66</v>
      </c>
      <c r="B79" s="412" t="s">
        <v>579</v>
      </c>
      <c r="C79" s="414">
        <v>31</v>
      </c>
      <c r="D79" s="416">
        <f t="shared" si="16"/>
        <v>31</v>
      </c>
      <c r="E79" s="417">
        <f>$D$23-SUM($D$73:D79)+1</f>
        <v>154</v>
      </c>
      <c r="F79" s="418">
        <f t="shared" si="17"/>
        <v>0.42076502732240439</v>
      </c>
      <c r="G79" s="430"/>
      <c r="H79" s="415">
        <f t="shared" si="18"/>
        <v>0</v>
      </c>
      <c r="I79" s="414">
        <f t="shared" si="19"/>
        <v>0</v>
      </c>
      <c r="J79" s="414">
        <f t="shared" si="15"/>
        <v>0</v>
      </c>
      <c r="L79" s="428"/>
      <c r="M79" s="428"/>
      <c r="N79" s="431"/>
      <c r="P79" s="428"/>
    </row>
    <row r="80" spans="1:16">
      <c r="A80" s="395">
        <f t="shared" si="14"/>
        <v>67</v>
      </c>
      <c r="B80" s="412" t="s">
        <v>645</v>
      </c>
      <c r="C80" s="414">
        <v>31</v>
      </c>
      <c r="D80" s="416">
        <f t="shared" si="16"/>
        <v>31</v>
      </c>
      <c r="E80" s="417">
        <f>$D$23-SUM($D$73:D80)+1</f>
        <v>123</v>
      </c>
      <c r="F80" s="418">
        <f t="shared" si="17"/>
        <v>0.33606557377049179</v>
      </c>
      <c r="G80" s="430"/>
      <c r="H80" s="415">
        <f t="shared" si="18"/>
        <v>0</v>
      </c>
      <c r="I80" s="414">
        <f t="shared" si="19"/>
        <v>0</v>
      </c>
      <c r="J80" s="414">
        <f t="shared" si="15"/>
        <v>0</v>
      </c>
      <c r="L80" s="428"/>
      <c r="M80" s="428"/>
      <c r="N80" s="431"/>
      <c r="P80" s="428"/>
    </row>
    <row r="81" spans="1:16">
      <c r="A81" s="395">
        <f t="shared" si="14"/>
        <v>68</v>
      </c>
      <c r="B81" s="412" t="s">
        <v>581</v>
      </c>
      <c r="C81" s="414">
        <v>30</v>
      </c>
      <c r="D81" s="416">
        <f t="shared" si="16"/>
        <v>30</v>
      </c>
      <c r="E81" s="417">
        <f>$D$23-SUM($D$73:D81)+1</f>
        <v>93</v>
      </c>
      <c r="F81" s="418">
        <f t="shared" si="17"/>
        <v>0.25409836065573771</v>
      </c>
      <c r="G81" s="430"/>
      <c r="H81" s="415">
        <f t="shared" si="18"/>
        <v>0</v>
      </c>
      <c r="I81" s="414">
        <f t="shared" si="19"/>
        <v>0</v>
      </c>
      <c r="J81" s="414">
        <f t="shared" si="15"/>
        <v>0</v>
      </c>
      <c r="L81" s="428"/>
      <c r="M81" s="428"/>
      <c r="N81" s="431"/>
      <c r="P81" s="428"/>
    </row>
    <row r="82" spans="1:16">
      <c r="A82" s="395">
        <f t="shared" si="14"/>
        <v>69</v>
      </c>
      <c r="B82" s="412" t="s">
        <v>582</v>
      </c>
      <c r="C82" s="414">
        <v>31</v>
      </c>
      <c r="D82" s="416">
        <f t="shared" si="16"/>
        <v>31</v>
      </c>
      <c r="E82" s="417">
        <f>$D$23-SUM($D$73:D82)+1</f>
        <v>62</v>
      </c>
      <c r="F82" s="418">
        <f t="shared" si="17"/>
        <v>0.16939890710382513</v>
      </c>
      <c r="G82" s="430"/>
      <c r="H82" s="415">
        <f t="shared" si="18"/>
        <v>0</v>
      </c>
      <c r="I82" s="414">
        <f t="shared" si="19"/>
        <v>0</v>
      </c>
      <c r="J82" s="414">
        <f t="shared" si="15"/>
        <v>0</v>
      </c>
      <c r="L82" s="428"/>
      <c r="M82" s="428"/>
      <c r="N82" s="431"/>
      <c r="P82" s="428"/>
    </row>
    <row r="83" spans="1:16">
      <c r="A83" s="395">
        <f t="shared" si="14"/>
        <v>70</v>
      </c>
      <c r="B83" s="412" t="s">
        <v>583</v>
      </c>
      <c r="C83" s="414">
        <v>30</v>
      </c>
      <c r="D83" s="416">
        <f t="shared" si="16"/>
        <v>30</v>
      </c>
      <c r="E83" s="417">
        <f>$D$23-SUM($D$73:D83)+1</f>
        <v>32</v>
      </c>
      <c r="F83" s="418">
        <f t="shared" si="17"/>
        <v>8.7431693989071038E-2</v>
      </c>
      <c r="G83" s="430"/>
      <c r="H83" s="415"/>
      <c r="I83" s="414">
        <f>+H83*F83</f>
        <v>0</v>
      </c>
      <c r="J83" s="414">
        <f t="shared" si="15"/>
        <v>0</v>
      </c>
      <c r="L83" s="428"/>
      <c r="M83" s="428"/>
      <c r="N83" s="431"/>
      <c r="P83" s="428"/>
    </row>
    <row r="84" spans="1:16">
      <c r="A84" s="395">
        <f t="shared" si="14"/>
        <v>71</v>
      </c>
      <c r="B84" s="412" t="s">
        <v>646</v>
      </c>
      <c r="C84" s="414">
        <v>31</v>
      </c>
      <c r="D84" s="416">
        <f t="shared" si="16"/>
        <v>31</v>
      </c>
      <c r="E84" s="417">
        <f>$D$23-SUM($D$73:D84)+1</f>
        <v>1</v>
      </c>
      <c r="F84" s="418">
        <f t="shared" si="17"/>
        <v>2.7322404371584699E-3</v>
      </c>
      <c r="G84" s="430"/>
      <c r="H84" s="415"/>
      <c r="I84" s="414">
        <f>+H84*F84</f>
        <v>0</v>
      </c>
      <c r="J84" s="414">
        <f>+I84+J83</f>
        <v>0</v>
      </c>
      <c r="K84" s="432"/>
      <c r="L84" s="428"/>
      <c r="M84" s="428"/>
      <c r="N84" s="431"/>
      <c r="P84" s="428"/>
    </row>
    <row r="85" spans="1:16">
      <c r="A85" s="395">
        <f t="shared" si="14"/>
        <v>72</v>
      </c>
      <c r="B85" s="419"/>
      <c r="C85" s="419" t="s">
        <v>22</v>
      </c>
      <c r="D85" s="420">
        <f>SUM(D73:D84)</f>
        <v>366</v>
      </c>
      <c r="E85" s="419"/>
      <c r="F85" s="421"/>
      <c r="G85" s="413"/>
      <c r="H85" s="422">
        <f>SUM(H73:H84)</f>
        <v>0</v>
      </c>
      <c r="I85" s="422">
        <f>SUM(I73:I84)</f>
        <v>0</v>
      </c>
      <c r="J85" s="421"/>
    </row>
    <row r="86" spans="1:16">
      <c r="B86" s="424"/>
      <c r="C86" s="424"/>
      <c r="D86" s="424"/>
      <c r="E86" s="424"/>
      <c r="F86" s="423"/>
      <c r="G86" s="423"/>
      <c r="H86" s="433"/>
      <c r="I86" s="425"/>
      <c r="J86" s="423"/>
    </row>
    <row r="87" spans="1:16">
      <c r="A87" s="395">
        <f>+A85+1</f>
        <v>73</v>
      </c>
      <c r="B87" s="395" t="s">
        <v>647</v>
      </c>
      <c r="F87" s="395" t="s">
        <v>659</v>
      </c>
      <c r="G87" s="423"/>
      <c r="I87" s="423"/>
      <c r="J87" s="415"/>
      <c r="M87" s="434"/>
    </row>
    <row r="88" spans="1:16">
      <c r="A88" s="395">
        <f>+A87+1</f>
        <v>74</v>
      </c>
      <c r="B88" s="395" t="s">
        <v>662</v>
      </c>
      <c r="F88" s="395" t="str">
        <f>"(Line "&amp;A87&amp;" less line "&amp;A89&amp;")"</f>
        <v>(Line 73 less line 75)</v>
      </c>
      <c r="G88" s="423"/>
      <c r="I88" s="423"/>
      <c r="J88" s="414">
        <f>+J87-J89</f>
        <v>0</v>
      </c>
    </row>
    <row r="89" spans="1:16">
      <c r="A89" s="395">
        <f t="shared" ref="A89:A95" si="20">+A88+1</f>
        <v>75</v>
      </c>
      <c r="B89" s="395" t="s">
        <v>650</v>
      </c>
      <c r="F89" s="395" t="str">
        <f>"(Line "&amp;A72&amp;", Col H)"</f>
        <v>(Line 59, Col H)</v>
      </c>
      <c r="G89" s="423"/>
      <c r="I89" s="423"/>
      <c r="J89" s="414">
        <f>+J72</f>
        <v>0</v>
      </c>
    </row>
    <row r="90" spans="1:16">
      <c r="A90" s="395">
        <f t="shared" si="20"/>
        <v>76</v>
      </c>
      <c r="B90" s="395" t="s">
        <v>651</v>
      </c>
      <c r="F90" s="395" t="s">
        <v>660</v>
      </c>
      <c r="G90" s="423"/>
      <c r="I90" s="423"/>
      <c r="J90" s="415">
        <v>666</v>
      </c>
    </row>
    <row r="91" spans="1:16">
      <c r="A91" s="395">
        <f t="shared" si="20"/>
        <v>77</v>
      </c>
      <c r="B91" s="395" t="str">
        <f>+B88</f>
        <v xml:space="preserve">Less non Prorated Items </v>
      </c>
      <c r="F91" s="395" t="str">
        <f>"(Line "&amp;A90&amp;" less line "&amp;A92&amp;")"</f>
        <v>(Line 76 less line 78)</v>
      </c>
      <c r="G91" s="423"/>
      <c r="I91" s="423"/>
      <c r="J91" s="414">
        <f>J90-J92</f>
        <v>666</v>
      </c>
    </row>
    <row r="92" spans="1:16">
      <c r="A92" s="395">
        <f t="shared" si="20"/>
        <v>78</v>
      </c>
      <c r="B92" s="395" t="s">
        <v>653</v>
      </c>
      <c r="F92" s="395" t="str">
        <f>"(Line "&amp;A84&amp;", Col H)"</f>
        <v>(Line 71, Col H)</v>
      </c>
      <c r="G92" s="423"/>
      <c r="I92" s="423"/>
      <c r="J92" s="435">
        <f>J84</f>
        <v>0</v>
      </c>
    </row>
    <row r="93" spans="1:16">
      <c r="A93" s="395">
        <f t="shared" si="20"/>
        <v>79</v>
      </c>
      <c r="B93" s="395" t="s">
        <v>654</v>
      </c>
      <c r="F93" s="395" t="str">
        <f>"([Lines "&amp;A89&amp;" + "&amp;A92&amp;"] /2)+([Lines "&amp;A88&amp;" +"&amp;A91&amp;")/2])"</f>
        <v>([Lines 75 + 78] /2)+([Lines 74 +77)/2])</v>
      </c>
      <c r="G93" s="423"/>
      <c r="I93" s="410"/>
      <c r="J93" s="422">
        <f>(J89+J92)/2+(J88+J91)/2</f>
        <v>333</v>
      </c>
    </row>
    <row r="94" spans="1:16">
      <c r="A94" s="395">
        <f t="shared" si="20"/>
        <v>80</v>
      </c>
      <c r="B94" s="395" t="s">
        <v>655</v>
      </c>
      <c r="F94" s="395" t="s">
        <v>656</v>
      </c>
      <c r="G94" s="423"/>
      <c r="I94" s="410"/>
      <c r="J94" s="415">
        <v>0</v>
      </c>
    </row>
    <row r="95" spans="1:16">
      <c r="A95" s="395">
        <f t="shared" si="20"/>
        <v>81</v>
      </c>
      <c r="B95" s="395" t="s">
        <v>657</v>
      </c>
      <c r="F95" s="395" t="str">
        <f>"(Line "&amp;A93&amp;" less line "&amp;A94&amp;")"</f>
        <v>(Line 79 less line 80)</v>
      </c>
      <c r="J95" s="436">
        <f>+J93-J94</f>
        <v>333</v>
      </c>
    </row>
    <row r="98" spans="1:10">
      <c r="A98" s="395">
        <f>+A95+1</f>
        <v>82</v>
      </c>
      <c r="B98" s="398" t="s">
        <v>663</v>
      </c>
      <c r="H98" s="399"/>
      <c r="I98" s="399"/>
      <c r="J98" s="399"/>
    </row>
    <row r="99" spans="1:10">
      <c r="A99" s="395">
        <f>+A98+1</f>
        <v>83</v>
      </c>
      <c r="B99" s="400" t="s">
        <v>634</v>
      </c>
      <c r="C99" s="401"/>
      <c r="D99" s="401"/>
      <c r="E99" s="401"/>
      <c r="F99" s="402"/>
      <c r="G99" s="403"/>
      <c r="H99" s="404" t="s">
        <v>635</v>
      </c>
      <c r="I99" s="405"/>
      <c r="J99" s="406"/>
    </row>
    <row r="100" spans="1:10">
      <c r="B100" s="407" t="s">
        <v>431</v>
      </c>
      <c r="C100" s="407" t="s">
        <v>433</v>
      </c>
      <c r="D100" s="407" t="s">
        <v>286</v>
      </c>
      <c r="E100" s="407" t="s">
        <v>288</v>
      </c>
      <c r="F100" s="407" t="s">
        <v>290</v>
      </c>
      <c r="G100" s="403"/>
      <c r="H100" s="407" t="s">
        <v>292</v>
      </c>
      <c r="I100" s="407" t="s">
        <v>294</v>
      </c>
      <c r="J100" s="407" t="s">
        <v>302</v>
      </c>
    </row>
    <row r="101" spans="1:10" ht="47.25">
      <c r="A101" s="395">
        <f>+A99+1</f>
        <v>84</v>
      </c>
      <c r="B101" s="409" t="s">
        <v>554</v>
      </c>
      <c r="C101" s="409" t="s">
        <v>636</v>
      </c>
      <c r="D101" s="409" t="s">
        <v>637</v>
      </c>
      <c r="E101" s="409" t="s">
        <v>638</v>
      </c>
      <c r="F101" s="409" t="s">
        <v>639</v>
      </c>
      <c r="G101" s="410"/>
      <c r="H101" s="409" t="s">
        <v>640</v>
      </c>
      <c r="I101" s="409" t="s">
        <v>641</v>
      </c>
      <c r="J101" s="409" t="s">
        <v>642</v>
      </c>
    </row>
    <row r="102" spans="1:10">
      <c r="A102" s="395">
        <f t="shared" ref="A102:A116" si="21">+A101+1</f>
        <v>85</v>
      </c>
      <c r="C102" s="410"/>
      <c r="D102" s="410"/>
      <c r="E102" s="410"/>
      <c r="F102" s="410"/>
      <c r="G102" s="410"/>
      <c r="H102" s="410"/>
      <c r="I102" s="410"/>
      <c r="J102" s="410"/>
    </row>
    <row r="103" spans="1:10">
      <c r="A103" s="395">
        <f t="shared" si="21"/>
        <v>86</v>
      </c>
      <c r="B103" s="411" t="s">
        <v>643</v>
      </c>
      <c r="C103" s="412"/>
      <c r="D103" s="413"/>
      <c r="E103" s="413"/>
      <c r="F103" s="413"/>
      <c r="G103" s="413"/>
      <c r="H103" s="414"/>
      <c r="I103" s="414"/>
      <c r="J103" s="415">
        <v>0</v>
      </c>
    </row>
    <row r="104" spans="1:10">
      <c r="A104" s="395">
        <f t="shared" si="21"/>
        <v>87</v>
      </c>
      <c r="B104" s="412" t="s">
        <v>573</v>
      </c>
      <c r="C104" s="414">
        <v>31</v>
      </c>
      <c r="D104" s="416">
        <f>C104</f>
        <v>31</v>
      </c>
      <c r="E104" s="417">
        <f>D116-D104+1</f>
        <v>336</v>
      </c>
      <c r="F104" s="418">
        <f>IF(E104=0,0,E104/$D$116)</f>
        <v>0.91803278688524592</v>
      </c>
      <c r="G104" s="413"/>
      <c r="H104" s="415">
        <v>0</v>
      </c>
      <c r="I104" s="414">
        <f>+H104*F104</f>
        <v>0</v>
      </c>
      <c r="J104" s="414">
        <f t="shared" ref="J104:J115" si="22">+I104+J103</f>
        <v>0</v>
      </c>
    </row>
    <row r="105" spans="1:10">
      <c r="A105" s="395">
        <f t="shared" si="21"/>
        <v>88</v>
      </c>
      <c r="B105" s="412" t="s">
        <v>574</v>
      </c>
      <c r="C105" s="415">
        <v>29</v>
      </c>
      <c r="D105" s="416">
        <f t="shared" ref="D105:D115" si="23">C105</f>
        <v>29</v>
      </c>
      <c r="E105" s="417">
        <f>$D$23-SUM($D$104:D105)+1</f>
        <v>307</v>
      </c>
      <c r="F105" s="418">
        <f t="shared" ref="F105:F115" si="24">IF(E105=0,0,E105/$D$116)</f>
        <v>0.83879781420765032</v>
      </c>
      <c r="G105" s="413"/>
      <c r="H105" s="415">
        <f t="shared" ref="H105:H115" si="25">+H104</f>
        <v>0</v>
      </c>
      <c r="I105" s="414">
        <f t="shared" ref="I105:I115" si="26">+H105*F105</f>
        <v>0</v>
      </c>
      <c r="J105" s="414">
        <f t="shared" si="22"/>
        <v>0</v>
      </c>
    </row>
    <row r="106" spans="1:10">
      <c r="A106" s="395">
        <f t="shared" si="21"/>
        <v>89</v>
      </c>
      <c r="B106" s="412" t="s">
        <v>644</v>
      </c>
      <c r="C106" s="414">
        <v>31</v>
      </c>
      <c r="D106" s="416">
        <f t="shared" si="23"/>
        <v>31</v>
      </c>
      <c r="E106" s="417">
        <f>$D$23-SUM($D$104:D106)+1</f>
        <v>276</v>
      </c>
      <c r="F106" s="418">
        <f t="shared" si="24"/>
        <v>0.75409836065573765</v>
      </c>
      <c r="G106" s="413"/>
      <c r="H106" s="415">
        <f t="shared" si="25"/>
        <v>0</v>
      </c>
      <c r="I106" s="414">
        <f t="shared" si="26"/>
        <v>0</v>
      </c>
      <c r="J106" s="414">
        <f t="shared" si="22"/>
        <v>0</v>
      </c>
    </row>
    <row r="107" spans="1:10">
      <c r="A107" s="395">
        <f t="shared" si="21"/>
        <v>90</v>
      </c>
      <c r="B107" s="412" t="s">
        <v>576</v>
      </c>
      <c r="C107" s="414">
        <v>30</v>
      </c>
      <c r="D107" s="416">
        <f t="shared" si="23"/>
        <v>30</v>
      </c>
      <c r="E107" s="417">
        <f>$D$23-SUM($D$104:D107)+1</f>
        <v>246</v>
      </c>
      <c r="F107" s="418">
        <f t="shared" si="24"/>
        <v>0.67213114754098358</v>
      </c>
      <c r="G107" s="413"/>
      <c r="H107" s="415">
        <f t="shared" si="25"/>
        <v>0</v>
      </c>
      <c r="I107" s="414">
        <f t="shared" si="26"/>
        <v>0</v>
      </c>
      <c r="J107" s="414">
        <f t="shared" si="22"/>
        <v>0</v>
      </c>
    </row>
    <row r="108" spans="1:10">
      <c r="A108" s="395">
        <f t="shared" si="21"/>
        <v>91</v>
      </c>
      <c r="B108" s="412" t="s">
        <v>577</v>
      </c>
      <c r="C108" s="414">
        <v>31</v>
      </c>
      <c r="D108" s="416">
        <f t="shared" si="23"/>
        <v>31</v>
      </c>
      <c r="E108" s="417">
        <f>$D$23-SUM($D$104:D108)+1</f>
        <v>215</v>
      </c>
      <c r="F108" s="418">
        <f t="shared" si="24"/>
        <v>0.58743169398907102</v>
      </c>
      <c r="G108" s="413"/>
      <c r="H108" s="415">
        <f t="shared" si="25"/>
        <v>0</v>
      </c>
      <c r="I108" s="414">
        <f t="shared" si="26"/>
        <v>0</v>
      </c>
      <c r="J108" s="414">
        <f t="shared" si="22"/>
        <v>0</v>
      </c>
    </row>
    <row r="109" spans="1:10">
      <c r="A109" s="395">
        <f t="shared" si="21"/>
        <v>92</v>
      </c>
      <c r="B109" s="412" t="s">
        <v>578</v>
      </c>
      <c r="C109" s="414">
        <v>30</v>
      </c>
      <c r="D109" s="416">
        <f t="shared" si="23"/>
        <v>30</v>
      </c>
      <c r="E109" s="417">
        <f>$D$23-SUM($D$104:D109)+1</f>
        <v>185</v>
      </c>
      <c r="F109" s="418">
        <f t="shared" si="24"/>
        <v>0.50546448087431695</v>
      </c>
      <c r="G109" s="413"/>
      <c r="H109" s="415">
        <f t="shared" si="25"/>
        <v>0</v>
      </c>
      <c r="I109" s="414">
        <f t="shared" si="26"/>
        <v>0</v>
      </c>
      <c r="J109" s="414">
        <f t="shared" si="22"/>
        <v>0</v>
      </c>
    </row>
    <row r="110" spans="1:10">
      <c r="A110" s="395">
        <f t="shared" si="21"/>
        <v>93</v>
      </c>
      <c r="B110" s="412" t="s">
        <v>579</v>
      </c>
      <c r="C110" s="414">
        <v>31</v>
      </c>
      <c r="D110" s="416">
        <f t="shared" si="23"/>
        <v>31</v>
      </c>
      <c r="E110" s="417">
        <f>$D$23-SUM($D$104:D110)+1</f>
        <v>154</v>
      </c>
      <c r="F110" s="418">
        <f t="shared" si="24"/>
        <v>0.42076502732240439</v>
      </c>
      <c r="G110" s="413"/>
      <c r="H110" s="415">
        <f t="shared" si="25"/>
        <v>0</v>
      </c>
      <c r="I110" s="414">
        <f t="shared" si="26"/>
        <v>0</v>
      </c>
      <c r="J110" s="414">
        <f t="shared" si="22"/>
        <v>0</v>
      </c>
    </row>
    <row r="111" spans="1:10">
      <c r="A111" s="395">
        <f t="shared" si="21"/>
        <v>94</v>
      </c>
      <c r="B111" s="412" t="s">
        <v>645</v>
      </c>
      <c r="C111" s="414">
        <v>31</v>
      </c>
      <c r="D111" s="416">
        <f t="shared" si="23"/>
        <v>31</v>
      </c>
      <c r="E111" s="417">
        <f>$D$23-SUM($D$104:D111)+1</f>
        <v>123</v>
      </c>
      <c r="F111" s="418">
        <f t="shared" si="24"/>
        <v>0.33606557377049179</v>
      </c>
      <c r="G111" s="413"/>
      <c r="H111" s="415">
        <f t="shared" si="25"/>
        <v>0</v>
      </c>
      <c r="I111" s="414">
        <f t="shared" si="26"/>
        <v>0</v>
      </c>
      <c r="J111" s="414">
        <f t="shared" si="22"/>
        <v>0</v>
      </c>
    </row>
    <row r="112" spans="1:10">
      <c r="A112" s="395">
        <f t="shared" si="21"/>
        <v>95</v>
      </c>
      <c r="B112" s="412" t="s">
        <v>581</v>
      </c>
      <c r="C112" s="414">
        <v>30</v>
      </c>
      <c r="D112" s="416">
        <f t="shared" si="23"/>
        <v>30</v>
      </c>
      <c r="E112" s="417">
        <f>$D$23-SUM($D$104:D112)+1</f>
        <v>93</v>
      </c>
      <c r="F112" s="418">
        <f t="shared" si="24"/>
        <v>0.25409836065573771</v>
      </c>
      <c r="G112" s="413"/>
      <c r="H112" s="415">
        <f t="shared" si="25"/>
        <v>0</v>
      </c>
      <c r="I112" s="414">
        <f t="shared" si="26"/>
        <v>0</v>
      </c>
      <c r="J112" s="414">
        <f t="shared" si="22"/>
        <v>0</v>
      </c>
    </row>
    <row r="113" spans="1:10">
      <c r="A113" s="395">
        <f t="shared" si="21"/>
        <v>96</v>
      </c>
      <c r="B113" s="412" t="s">
        <v>582</v>
      </c>
      <c r="C113" s="414">
        <v>31</v>
      </c>
      <c r="D113" s="416">
        <f t="shared" si="23"/>
        <v>31</v>
      </c>
      <c r="E113" s="417">
        <f>$D$23-SUM($D$104:D113)+1</f>
        <v>62</v>
      </c>
      <c r="F113" s="418">
        <f t="shared" si="24"/>
        <v>0.16939890710382513</v>
      </c>
      <c r="G113" s="413"/>
      <c r="H113" s="415">
        <f t="shared" si="25"/>
        <v>0</v>
      </c>
      <c r="I113" s="414">
        <f t="shared" si="26"/>
        <v>0</v>
      </c>
      <c r="J113" s="414">
        <f t="shared" si="22"/>
        <v>0</v>
      </c>
    </row>
    <row r="114" spans="1:10">
      <c r="A114" s="395">
        <f t="shared" si="21"/>
        <v>97</v>
      </c>
      <c r="B114" s="412" t="s">
        <v>583</v>
      </c>
      <c r="C114" s="414">
        <v>30</v>
      </c>
      <c r="D114" s="416">
        <f t="shared" si="23"/>
        <v>30</v>
      </c>
      <c r="E114" s="417">
        <f>$D$23-SUM($D$104:D114)+1</f>
        <v>32</v>
      </c>
      <c r="F114" s="418">
        <f t="shared" si="24"/>
        <v>8.7431693989071038E-2</v>
      </c>
      <c r="G114" s="413"/>
      <c r="H114" s="415">
        <f t="shared" si="25"/>
        <v>0</v>
      </c>
      <c r="I114" s="414">
        <f t="shared" si="26"/>
        <v>0</v>
      </c>
      <c r="J114" s="414">
        <f t="shared" si="22"/>
        <v>0</v>
      </c>
    </row>
    <row r="115" spans="1:10">
      <c r="A115" s="395">
        <f t="shared" si="21"/>
        <v>98</v>
      </c>
      <c r="B115" s="412" t="s">
        <v>646</v>
      </c>
      <c r="C115" s="414">
        <v>31</v>
      </c>
      <c r="D115" s="416">
        <f t="shared" si="23"/>
        <v>31</v>
      </c>
      <c r="E115" s="417">
        <f>$D$23-SUM($D$104:D115)+1</f>
        <v>1</v>
      </c>
      <c r="F115" s="418">
        <f t="shared" si="24"/>
        <v>2.7322404371584699E-3</v>
      </c>
      <c r="G115" s="413"/>
      <c r="H115" s="415">
        <f t="shared" si="25"/>
        <v>0</v>
      </c>
      <c r="I115" s="414">
        <f t="shared" si="26"/>
        <v>0</v>
      </c>
      <c r="J115" s="414">
        <f t="shared" si="22"/>
        <v>0</v>
      </c>
    </row>
    <row r="116" spans="1:10">
      <c r="A116" s="395">
        <f t="shared" si="21"/>
        <v>99</v>
      </c>
      <c r="B116" s="419"/>
      <c r="C116" s="419" t="s">
        <v>22</v>
      </c>
      <c r="D116" s="420">
        <f>SUM(D104:D115)</f>
        <v>366</v>
      </c>
      <c r="E116" s="419"/>
      <c r="F116" s="421"/>
      <c r="G116" s="413"/>
      <c r="H116" s="422">
        <f>SUM(H104:H115)</f>
        <v>0</v>
      </c>
      <c r="I116" s="422">
        <f>SUM(I104:I115)</f>
        <v>0</v>
      </c>
      <c r="J116" s="421"/>
    </row>
    <row r="117" spans="1:10">
      <c r="B117" s="424"/>
      <c r="C117" s="424"/>
      <c r="D117" s="424"/>
      <c r="E117" s="424"/>
      <c r="F117" s="423"/>
      <c r="G117" s="423"/>
      <c r="I117" s="425"/>
      <c r="J117" s="423"/>
    </row>
    <row r="118" spans="1:10">
      <c r="A118" s="395">
        <f>+A116+1</f>
        <v>100</v>
      </c>
      <c r="B118" s="395" t="s">
        <v>647</v>
      </c>
      <c r="F118" s="395" t="s">
        <v>664</v>
      </c>
      <c r="G118" s="423"/>
      <c r="I118" s="423"/>
      <c r="J118" s="415">
        <v>0</v>
      </c>
    </row>
    <row r="119" spans="1:10">
      <c r="A119" s="395">
        <f>+A118+1</f>
        <v>101</v>
      </c>
      <c r="B119" s="395" t="s">
        <v>649</v>
      </c>
      <c r="F119" s="395" t="str">
        <f>"(Line "&amp;A118&amp;" less line "&amp;A120&amp;")"</f>
        <v>(Line 100 less line 102)</v>
      </c>
      <c r="G119" s="423"/>
      <c r="I119" s="423"/>
      <c r="J119" s="414">
        <f>+J118-J120</f>
        <v>0</v>
      </c>
    </row>
    <row r="120" spans="1:10">
      <c r="A120" s="395">
        <f t="shared" ref="A120:A126" si="27">+A119+1</f>
        <v>102</v>
      </c>
      <c r="B120" s="395" t="s">
        <v>650</v>
      </c>
      <c r="F120" s="395" t="str">
        <f>"(Line "&amp;A103&amp;", Col H)"</f>
        <v>(Line 86, Col H)</v>
      </c>
      <c r="G120" s="423"/>
      <c r="I120" s="423"/>
      <c r="J120" s="414">
        <f>+J103</f>
        <v>0</v>
      </c>
    </row>
    <row r="121" spans="1:10">
      <c r="A121" s="395">
        <f t="shared" si="27"/>
        <v>103</v>
      </c>
      <c r="B121" s="395" t="s">
        <v>651</v>
      </c>
      <c r="F121" s="395" t="s">
        <v>665</v>
      </c>
      <c r="G121" s="423"/>
      <c r="I121" s="423"/>
      <c r="J121" s="415">
        <v>0</v>
      </c>
    </row>
    <row r="122" spans="1:10">
      <c r="A122" s="395">
        <f t="shared" si="27"/>
        <v>104</v>
      </c>
      <c r="B122" s="395" t="str">
        <f>+B119</f>
        <v>Less non Prorated Items</v>
      </c>
      <c r="F122" s="395" t="str">
        <f>"(Line "&amp;A121&amp;" less line "&amp;A123&amp;")"</f>
        <v>(Line 103 less line 105)</v>
      </c>
      <c r="G122" s="423"/>
      <c r="I122" s="423"/>
      <c r="J122" s="414">
        <f>+J121-J123</f>
        <v>0</v>
      </c>
    </row>
    <row r="123" spans="1:10">
      <c r="A123" s="395">
        <f t="shared" si="27"/>
        <v>105</v>
      </c>
      <c r="B123" s="395" t="s">
        <v>653</v>
      </c>
      <c r="F123" s="395" t="str">
        <f>"(Line "&amp;A115&amp;", Col H)"</f>
        <v>(Line 98, Col H)</v>
      </c>
      <c r="G123" s="423"/>
      <c r="I123" s="423"/>
      <c r="J123" s="414">
        <f>+J115</f>
        <v>0</v>
      </c>
    </row>
    <row r="124" spans="1:10">
      <c r="A124" s="395">
        <f t="shared" si="27"/>
        <v>106</v>
      </c>
      <c r="B124" s="395" t="s">
        <v>654</v>
      </c>
      <c r="F124" s="395" t="str">
        <f>"([Lines "&amp;A120&amp;" + "&amp;A123&amp;"] /2)+([Lines "&amp;A119&amp;" +"&amp;A122&amp;")/2])"</f>
        <v>([Lines 102 + 105] /2)+([Lines 101 +104)/2])</v>
      </c>
      <c r="G124" s="423"/>
      <c r="I124" s="410"/>
      <c r="J124" s="422">
        <f>(J120+J123)/2+(J119+J122)/2</f>
        <v>0</v>
      </c>
    </row>
    <row r="125" spans="1:10">
      <c r="A125" s="395">
        <f t="shared" si="27"/>
        <v>107</v>
      </c>
      <c r="B125" s="395" t="s">
        <v>655</v>
      </c>
      <c r="F125" s="395" t="s">
        <v>656</v>
      </c>
      <c r="G125" s="423"/>
      <c r="I125" s="410"/>
      <c r="J125" s="415">
        <v>0</v>
      </c>
    </row>
    <row r="126" spans="1:10">
      <c r="A126" s="395">
        <f t="shared" si="27"/>
        <v>108</v>
      </c>
      <c r="B126" s="395" t="s">
        <v>657</v>
      </c>
      <c r="F126" s="395" t="str">
        <f>"(Line "&amp;A124&amp;" less line "&amp;A125&amp;")"</f>
        <v>(Line 106 less line 107)</v>
      </c>
      <c r="J126" s="426">
        <f>+J124-J125</f>
        <v>0</v>
      </c>
    </row>
    <row r="128" spans="1:10">
      <c r="A128" s="437"/>
      <c r="B128" s="437"/>
      <c r="C128" s="437"/>
      <c r="D128" s="437"/>
      <c r="E128" s="437"/>
      <c r="F128" s="437"/>
      <c r="G128" s="437"/>
      <c r="H128" s="437"/>
    </row>
    <row r="129" spans="1:8">
      <c r="A129" s="437"/>
      <c r="B129" s="437"/>
      <c r="C129" s="437"/>
      <c r="D129" s="437"/>
      <c r="E129" s="437"/>
      <c r="F129" s="437"/>
      <c r="G129" s="437"/>
      <c r="H129" s="437"/>
    </row>
  </sheetData>
  <mergeCells count="11">
    <mergeCell ref="B68:F68"/>
    <mergeCell ref="H68:J68"/>
    <mergeCell ref="B99:F99"/>
    <mergeCell ref="H99:J99"/>
    <mergeCell ref="B1:K1"/>
    <mergeCell ref="B2:K2"/>
    <mergeCell ref="B3:K3"/>
    <mergeCell ref="B6:F6"/>
    <mergeCell ref="H6:J6"/>
    <mergeCell ref="B37:F37"/>
    <mergeCell ref="H37:J37"/>
  </mergeCells>
  <printOptions horizontalCentered="1"/>
  <pageMargins left="0.45" right="0.45" top="0.5" bottom="0.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896D2-EB9E-41EE-B795-7946257BB64B}">
  <dimension ref="A1:O96"/>
  <sheetViews>
    <sheetView zoomScale="85" zoomScaleNormal="85" workbookViewId="0">
      <selection activeCell="C22" sqref="C22"/>
    </sheetView>
  </sheetViews>
  <sheetFormatPr defaultColWidth="14" defaultRowHeight="12.75"/>
  <cols>
    <col min="1" max="1" width="5.77734375" style="438" bestFit="1" customWidth="1"/>
    <col min="2" max="2" width="23.77734375" style="3" customWidth="1"/>
    <col min="3" max="3" width="16.77734375" style="3" customWidth="1"/>
    <col min="4" max="4" width="16.21875" style="3" customWidth="1"/>
    <col min="5" max="5" width="12" style="3" customWidth="1"/>
    <col min="6" max="7" width="10.77734375" style="3" customWidth="1"/>
    <col min="8" max="8" width="12.44140625" style="3" bestFit="1" customWidth="1"/>
    <col min="9" max="9" width="12.44140625" style="3" customWidth="1"/>
    <col min="10" max="10" width="13.77734375" style="3" bestFit="1" customWidth="1"/>
    <col min="11" max="11" width="12.5546875" style="3" bestFit="1" customWidth="1"/>
    <col min="12" max="12" width="13.21875" style="3" customWidth="1"/>
    <col min="13" max="13" width="12.77734375" style="3" customWidth="1"/>
    <col min="14" max="14" width="14" style="3"/>
    <col min="15" max="15" width="10" style="3" bestFit="1" customWidth="1"/>
    <col min="16" max="16384" width="14" style="3"/>
  </cols>
  <sheetData>
    <row r="1" spans="1:15">
      <c r="G1" s="154" t="s">
        <v>666</v>
      </c>
      <c r="M1" s="346" t="s">
        <v>339</v>
      </c>
    </row>
    <row r="2" spans="1:15" ht="15" customHeight="1">
      <c r="G2" s="292" t="s">
        <v>667</v>
      </c>
    </row>
    <row r="3" spans="1:15">
      <c r="D3" s="13"/>
      <c r="E3" s="13"/>
      <c r="F3" s="13"/>
      <c r="G3" s="50" t="str">
        <f>'Attachment H'!$D$5</f>
        <v>NextEra Energy Transmission MidAtlantic Indiana, Inc.</v>
      </c>
      <c r="H3" s="13"/>
      <c r="J3" s="13"/>
      <c r="K3" s="13"/>
      <c r="L3" s="13"/>
      <c r="M3" s="13"/>
      <c r="N3" s="13"/>
    </row>
    <row r="4" spans="1:15">
      <c r="B4" s="11"/>
    </row>
    <row r="6" spans="1:15" s="441" customFormat="1" ht="69.75" customHeight="1">
      <c r="A6" s="439" t="s">
        <v>396</v>
      </c>
      <c r="B6" s="440" t="s">
        <v>554</v>
      </c>
      <c r="C6" s="440" t="s">
        <v>668</v>
      </c>
      <c r="D6" s="440" t="s">
        <v>669</v>
      </c>
      <c r="E6" s="440" t="s">
        <v>670</v>
      </c>
      <c r="F6" s="440" t="s">
        <v>671</v>
      </c>
      <c r="G6" s="440" t="s">
        <v>672</v>
      </c>
      <c r="H6" s="440" t="s">
        <v>673</v>
      </c>
      <c r="I6" s="440" t="s">
        <v>674</v>
      </c>
      <c r="J6" s="440" t="s">
        <v>675</v>
      </c>
      <c r="K6" s="440" t="s">
        <v>676</v>
      </c>
      <c r="L6" s="357" t="s">
        <v>144</v>
      </c>
      <c r="M6" s="440" t="s">
        <v>677</v>
      </c>
      <c r="O6" s="442"/>
    </row>
    <row r="7" spans="1:15" s="441" customFormat="1">
      <c r="A7" s="439"/>
      <c r="B7" s="440"/>
      <c r="C7" s="443" t="s">
        <v>536</v>
      </c>
      <c r="D7" s="345" t="s">
        <v>537</v>
      </c>
      <c r="E7" s="345" t="s">
        <v>538</v>
      </c>
      <c r="F7" s="356" t="s">
        <v>539</v>
      </c>
      <c r="G7" s="356" t="s">
        <v>559</v>
      </c>
      <c r="H7" s="356" t="s">
        <v>560</v>
      </c>
      <c r="I7" s="357" t="s">
        <v>561</v>
      </c>
      <c r="J7" s="357" t="s">
        <v>562</v>
      </c>
      <c r="K7" s="357" t="s">
        <v>563</v>
      </c>
      <c r="L7" s="292" t="s">
        <v>678</v>
      </c>
      <c r="M7" s="292" t="s">
        <v>679</v>
      </c>
      <c r="O7" s="442"/>
    </row>
    <row r="8" spans="1:15" ht="25.5" customHeight="1">
      <c r="A8" s="444"/>
      <c r="B8" s="355" t="s">
        <v>680</v>
      </c>
      <c r="C8" s="443">
        <v>1</v>
      </c>
      <c r="D8" s="443">
        <v>2</v>
      </c>
      <c r="E8" s="443">
        <v>3</v>
      </c>
      <c r="F8" s="443">
        <v>4</v>
      </c>
      <c r="G8" s="443">
        <v>5</v>
      </c>
      <c r="H8" s="443">
        <v>6</v>
      </c>
      <c r="I8" s="443">
        <v>7</v>
      </c>
      <c r="J8" s="443">
        <v>9</v>
      </c>
      <c r="K8" s="443">
        <v>11</v>
      </c>
      <c r="L8" s="443">
        <v>12</v>
      </c>
      <c r="M8" s="443">
        <v>16</v>
      </c>
      <c r="O8" s="445"/>
    </row>
    <row r="9" spans="1:15" s="448" customFormat="1" ht="24.75" customHeight="1">
      <c r="A9" s="444"/>
      <c r="B9" s="446" t="s">
        <v>681</v>
      </c>
      <c r="C9" s="292" t="s">
        <v>682</v>
      </c>
      <c r="D9" s="292" t="s">
        <v>683</v>
      </c>
      <c r="E9" s="292" t="s">
        <v>684</v>
      </c>
      <c r="F9" s="292" t="s">
        <v>685</v>
      </c>
      <c r="G9" s="447" t="s">
        <v>686</v>
      </c>
      <c r="H9" s="447" t="str">
        <f>+G9</f>
        <v>(Note E)</v>
      </c>
      <c r="I9" s="447" t="str">
        <f>+H9</f>
        <v>(Note E)</v>
      </c>
      <c r="J9" s="447" t="s">
        <v>687</v>
      </c>
      <c r="K9" s="447" t="s">
        <v>688</v>
      </c>
      <c r="L9" s="447" t="s">
        <v>689</v>
      </c>
      <c r="M9" s="292" t="s">
        <v>690</v>
      </c>
    </row>
    <row r="10" spans="1:15" s="448" customFormat="1">
      <c r="A10" s="444"/>
      <c r="B10" s="446"/>
    </row>
    <row r="11" spans="1:15">
      <c r="A11" s="444"/>
      <c r="B11" s="449"/>
      <c r="C11" s="443"/>
      <c r="D11" s="443"/>
      <c r="E11" s="443"/>
      <c r="F11" s="443"/>
      <c r="G11" s="443"/>
      <c r="H11" s="443"/>
      <c r="I11" s="443"/>
      <c r="J11" s="443"/>
      <c r="K11" s="443"/>
      <c r="L11" s="443"/>
      <c r="M11" s="443"/>
      <c r="O11" s="445"/>
    </row>
    <row r="12" spans="1:15">
      <c r="A12" s="444" t="s">
        <v>691</v>
      </c>
      <c r="B12" s="450" t="s">
        <v>573</v>
      </c>
      <c r="C12" s="451">
        <v>0</v>
      </c>
      <c r="D12" s="57">
        <v>0</v>
      </c>
      <c r="E12" s="57">
        <v>0</v>
      </c>
      <c r="F12" s="57"/>
      <c r="G12" s="57">
        <v>0</v>
      </c>
      <c r="H12" s="57">
        <v>0</v>
      </c>
      <c r="I12" s="57">
        <v>0</v>
      </c>
      <c r="J12" s="57">
        <v>0</v>
      </c>
      <c r="K12" s="57">
        <v>0</v>
      </c>
      <c r="L12" s="57">
        <v>0</v>
      </c>
      <c r="M12" s="57">
        <v>0</v>
      </c>
      <c r="O12" s="452"/>
    </row>
    <row r="13" spans="1:15">
      <c r="A13" s="444" t="s">
        <v>692</v>
      </c>
      <c r="B13" s="450" t="s">
        <v>574</v>
      </c>
      <c r="C13" s="451">
        <v>0</v>
      </c>
      <c r="D13" s="57">
        <v>0</v>
      </c>
      <c r="E13" s="57">
        <v>0</v>
      </c>
      <c r="F13" s="57"/>
      <c r="G13" s="57">
        <v>0</v>
      </c>
      <c r="H13" s="57">
        <v>0</v>
      </c>
      <c r="I13" s="57">
        <v>0</v>
      </c>
      <c r="J13" s="57">
        <v>0</v>
      </c>
      <c r="K13" s="57">
        <v>0</v>
      </c>
      <c r="L13" s="57">
        <v>0</v>
      </c>
      <c r="M13" s="57">
        <v>0</v>
      </c>
      <c r="O13" s="452"/>
    </row>
    <row r="14" spans="1:15">
      <c r="A14" s="444" t="s">
        <v>693</v>
      </c>
      <c r="B14" s="450" t="s">
        <v>644</v>
      </c>
      <c r="C14" s="451">
        <v>0</v>
      </c>
      <c r="D14" s="57">
        <v>0</v>
      </c>
      <c r="E14" s="57">
        <v>0</v>
      </c>
      <c r="F14" s="57"/>
      <c r="G14" s="57">
        <v>0</v>
      </c>
      <c r="H14" s="57">
        <v>0</v>
      </c>
      <c r="I14" s="57">
        <v>0</v>
      </c>
      <c r="J14" s="57">
        <v>0</v>
      </c>
      <c r="K14" s="57">
        <v>0</v>
      </c>
      <c r="L14" s="57">
        <v>0</v>
      </c>
      <c r="M14" s="57">
        <v>0</v>
      </c>
      <c r="O14" s="452"/>
    </row>
    <row r="15" spans="1:15">
      <c r="A15" s="444" t="s">
        <v>694</v>
      </c>
      <c r="B15" s="450" t="s">
        <v>576</v>
      </c>
      <c r="C15" s="451">
        <v>0</v>
      </c>
      <c r="D15" s="57">
        <v>0</v>
      </c>
      <c r="E15" s="57">
        <v>0</v>
      </c>
      <c r="F15" s="57"/>
      <c r="G15" s="57">
        <v>0</v>
      </c>
      <c r="H15" s="57">
        <v>0</v>
      </c>
      <c r="I15" s="57">
        <v>0</v>
      </c>
      <c r="J15" s="57">
        <v>0</v>
      </c>
      <c r="K15" s="57">
        <v>0</v>
      </c>
      <c r="L15" s="57">
        <v>0</v>
      </c>
      <c r="M15" s="57">
        <v>0</v>
      </c>
      <c r="O15" s="452"/>
    </row>
    <row r="16" spans="1:15">
      <c r="A16" s="444" t="s">
        <v>353</v>
      </c>
      <c r="B16" s="450" t="s">
        <v>577</v>
      </c>
      <c r="C16" s="451">
        <v>0</v>
      </c>
      <c r="D16" s="57">
        <v>0</v>
      </c>
      <c r="E16" s="57">
        <v>0</v>
      </c>
      <c r="F16" s="57"/>
      <c r="G16" s="57">
        <v>0</v>
      </c>
      <c r="H16" s="57">
        <v>0</v>
      </c>
      <c r="I16" s="57">
        <v>0</v>
      </c>
      <c r="J16" s="57">
        <v>0</v>
      </c>
      <c r="K16" s="57">
        <v>0</v>
      </c>
      <c r="L16" s="57">
        <v>0</v>
      </c>
      <c r="M16" s="57">
        <v>0</v>
      </c>
      <c r="O16" s="452"/>
    </row>
    <row r="17" spans="1:15">
      <c r="A17" s="444" t="s">
        <v>356</v>
      </c>
      <c r="B17" s="450" t="s">
        <v>578</v>
      </c>
      <c r="C17" s="451">
        <v>0</v>
      </c>
      <c r="D17" s="57">
        <v>0</v>
      </c>
      <c r="E17" s="57">
        <v>0</v>
      </c>
      <c r="F17" s="57"/>
      <c r="G17" s="57">
        <v>0</v>
      </c>
      <c r="H17" s="57">
        <v>0</v>
      </c>
      <c r="I17" s="57">
        <v>0</v>
      </c>
      <c r="J17" s="57">
        <v>0</v>
      </c>
      <c r="K17" s="57">
        <v>0</v>
      </c>
      <c r="L17" s="57">
        <v>0</v>
      </c>
      <c r="M17" s="57">
        <v>0</v>
      </c>
      <c r="O17" s="452"/>
    </row>
    <row r="18" spans="1:15">
      <c r="A18" s="444" t="s">
        <v>360</v>
      </c>
      <c r="B18" s="450" t="s">
        <v>579</v>
      </c>
      <c r="C18" s="451">
        <v>0</v>
      </c>
      <c r="D18" s="57">
        <v>0</v>
      </c>
      <c r="E18" s="57">
        <v>0</v>
      </c>
      <c r="F18" s="57"/>
      <c r="G18" s="57">
        <v>0</v>
      </c>
      <c r="H18" s="57">
        <v>0</v>
      </c>
      <c r="I18" s="57">
        <v>0</v>
      </c>
      <c r="J18" s="57">
        <v>0</v>
      </c>
      <c r="K18" s="57">
        <v>0</v>
      </c>
      <c r="L18" s="57">
        <v>0</v>
      </c>
      <c r="M18" s="57">
        <v>0</v>
      </c>
      <c r="O18" s="452"/>
    </row>
    <row r="19" spans="1:15">
      <c r="A19" s="444" t="s">
        <v>363</v>
      </c>
      <c r="B19" s="450" t="s">
        <v>645</v>
      </c>
      <c r="C19" s="451">
        <v>0</v>
      </c>
      <c r="D19" s="57">
        <v>0</v>
      </c>
      <c r="E19" s="57">
        <v>0</v>
      </c>
      <c r="F19" s="57"/>
      <c r="G19" s="57">
        <v>0</v>
      </c>
      <c r="H19" s="57">
        <v>0</v>
      </c>
      <c r="I19" s="57">
        <v>0</v>
      </c>
      <c r="J19" s="57">
        <v>0</v>
      </c>
      <c r="K19" s="57">
        <v>0</v>
      </c>
      <c r="L19" s="57">
        <v>0</v>
      </c>
      <c r="M19" s="57">
        <v>0</v>
      </c>
      <c r="O19" s="452"/>
    </row>
    <row r="20" spans="1:15">
      <c r="A20" s="444" t="s">
        <v>366</v>
      </c>
      <c r="B20" s="450" t="s">
        <v>581</v>
      </c>
      <c r="C20" s="451">
        <v>0</v>
      </c>
      <c r="D20" s="57">
        <v>0</v>
      </c>
      <c r="E20" s="57">
        <v>0</v>
      </c>
      <c r="F20" s="57"/>
      <c r="G20" s="57">
        <v>0</v>
      </c>
      <c r="H20" s="57">
        <v>0</v>
      </c>
      <c r="I20" s="57">
        <v>0</v>
      </c>
      <c r="J20" s="57">
        <v>0</v>
      </c>
      <c r="K20" s="57">
        <v>0</v>
      </c>
      <c r="L20" s="57">
        <v>0</v>
      </c>
      <c r="M20" s="57">
        <v>0</v>
      </c>
      <c r="O20" s="452"/>
    </row>
    <row r="21" spans="1:15">
      <c r="A21" s="444" t="s">
        <v>369</v>
      </c>
      <c r="B21" s="450" t="s">
        <v>582</v>
      </c>
      <c r="C21" s="451">
        <v>0</v>
      </c>
      <c r="D21" s="57">
        <v>0</v>
      </c>
      <c r="E21" s="57">
        <v>0</v>
      </c>
      <c r="F21" s="57"/>
      <c r="G21" s="57">
        <v>0</v>
      </c>
      <c r="H21" s="57">
        <v>0</v>
      </c>
      <c r="I21" s="57">
        <v>0</v>
      </c>
      <c r="J21" s="57">
        <v>0</v>
      </c>
      <c r="K21" s="57">
        <v>0</v>
      </c>
      <c r="L21" s="57">
        <v>0</v>
      </c>
      <c r="M21" s="57">
        <v>0</v>
      </c>
      <c r="O21" s="452"/>
    </row>
    <row r="22" spans="1:15">
      <c r="A22" s="444" t="s">
        <v>372</v>
      </c>
      <c r="B22" s="450" t="s">
        <v>583</v>
      </c>
      <c r="C22" s="451">
        <v>105000.01</v>
      </c>
      <c r="D22" s="57">
        <v>0</v>
      </c>
      <c r="E22" s="57">
        <v>0</v>
      </c>
      <c r="F22" s="57">
        <v>398.75</v>
      </c>
      <c r="G22" s="57">
        <v>0</v>
      </c>
      <c r="H22" s="57">
        <v>0</v>
      </c>
      <c r="I22" s="57">
        <v>0</v>
      </c>
      <c r="J22" s="57">
        <v>0</v>
      </c>
      <c r="K22" s="57">
        <v>0</v>
      </c>
      <c r="L22" s="57">
        <v>0</v>
      </c>
      <c r="M22" s="57">
        <v>9730.64</v>
      </c>
      <c r="O22" s="452"/>
    </row>
    <row r="23" spans="1:15">
      <c r="A23" s="444" t="s">
        <v>376</v>
      </c>
      <c r="B23" s="450" t="s">
        <v>646</v>
      </c>
      <c r="C23" s="451">
        <v>150810.75000000003</v>
      </c>
      <c r="D23" s="57">
        <v>0</v>
      </c>
      <c r="E23" s="57">
        <v>0</v>
      </c>
      <c r="F23" s="57">
        <v>13861.060000000001</v>
      </c>
      <c r="G23" s="57">
        <v>0</v>
      </c>
      <c r="H23" s="57">
        <v>0</v>
      </c>
      <c r="I23" s="57">
        <v>0</v>
      </c>
      <c r="J23" s="57">
        <v>0</v>
      </c>
      <c r="K23" s="57">
        <v>0</v>
      </c>
      <c r="L23" s="57">
        <v>0</v>
      </c>
      <c r="M23" s="57">
        <v>90.72</v>
      </c>
      <c r="O23" s="452"/>
    </row>
    <row r="24" spans="1:15">
      <c r="A24" s="444" t="s">
        <v>379</v>
      </c>
      <c r="B24" s="453" t="s">
        <v>22</v>
      </c>
      <c r="C24" s="454">
        <f>SUM(C12:C23)</f>
        <v>255810.76</v>
      </c>
      <c r="D24" s="454">
        <f t="shared" ref="D24:L24" si="0">SUM(D12:D23)</f>
        <v>0</v>
      </c>
      <c r="E24" s="454">
        <f t="shared" si="0"/>
        <v>0</v>
      </c>
      <c r="F24" s="454">
        <f t="shared" si="0"/>
        <v>14259.810000000001</v>
      </c>
      <c r="G24" s="454">
        <f t="shared" si="0"/>
        <v>0</v>
      </c>
      <c r="H24" s="454">
        <f t="shared" si="0"/>
        <v>0</v>
      </c>
      <c r="I24" s="454">
        <f t="shared" si="0"/>
        <v>0</v>
      </c>
      <c r="J24" s="454">
        <f t="shared" si="0"/>
        <v>0</v>
      </c>
      <c r="K24" s="454">
        <f t="shared" si="0"/>
        <v>0</v>
      </c>
      <c r="L24" s="454">
        <f t="shared" si="0"/>
        <v>0</v>
      </c>
      <c r="M24" s="454">
        <f>SUM(M12:M23)</f>
        <v>9821.3599999999988</v>
      </c>
      <c r="O24" s="455"/>
    </row>
    <row r="25" spans="1:15">
      <c r="A25" s="444"/>
      <c r="B25" s="450"/>
      <c r="C25" s="456"/>
      <c r="D25" s="450"/>
      <c r="E25" s="450"/>
      <c r="F25" s="456"/>
      <c r="G25" s="450"/>
      <c r="H25" s="450"/>
      <c r="I25" s="450"/>
      <c r="J25" s="450"/>
      <c r="N25" s="450"/>
      <c r="O25" s="457"/>
    </row>
    <row r="26" spans="1:15">
      <c r="A26" s="444"/>
      <c r="B26" s="450"/>
      <c r="C26" s="450"/>
      <c r="D26" s="450"/>
      <c r="E26" s="450"/>
      <c r="F26" s="450"/>
      <c r="G26" s="450"/>
      <c r="H26" s="450"/>
      <c r="I26" s="450"/>
      <c r="J26" s="450"/>
      <c r="N26" s="450"/>
      <c r="O26" s="457"/>
    </row>
    <row r="27" spans="1:15" ht="38.25">
      <c r="A27" s="444"/>
      <c r="C27" s="440" t="s">
        <v>695</v>
      </c>
      <c r="D27" s="441" t="s">
        <v>696</v>
      </c>
      <c r="E27" s="440" t="s">
        <v>697</v>
      </c>
      <c r="F27" s="441" t="s">
        <v>698</v>
      </c>
      <c r="G27" s="440" t="s">
        <v>699</v>
      </c>
      <c r="H27" s="440" t="s">
        <v>700</v>
      </c>
      <c r="I27" s="440" t="s">
        <v>701</v>
      </c>
      <c r="J27" s="440" t="s">
        <v>702</v>
      </c>
      <c r="K27" s="440" t="s">
        <v>703</v>
      </c>
      <c r="L27" s="440" t="s">
        <v>704</v>
      </c>
      <c r="M27" s="440" t="s">
        <v>187</v>
      </c>
      <c r="N27" s="450"/>
    </row>
    <row r="28" spans="1:15">
      <c r="A28" s="444"/>
      <c r="C28" s="443" t="s">
        <v>536</v>
      </c>
      <c r="D28" s="345" t="s">
        <v>537</v>
      </c>
      <c r="E28" s="345" t="s">
        <v>538</v>
      </c>
      <c r="F28" s="356" t="s">
        <v>539</v>
      </c>
      <c r="G28" s="356" t="s">
        <v>559</v>
      </c>
      <c r="H28" s="356" t="s">
        <v>560</v>
      </c>
      <c r="I28" s="356" t="s">
        <v>561</v>
      </c>
      <c r="J28" s="357" t="s">
        <v>562</v>
      </c>
      <c r="K28" s="357" t="s">
        <v>563</v>
      </c>
      <c r="L28" s="292" t="s">
        <v>678</v>
      </c>
      <c r="M28" s="292" t="s">
        <v>679</v>
      </c>
      <c r="N28" s="450"/>
    </row>
    <row r="29" spans="1:15">
      <c r="A29" s="444"/>
      <c r="B29" s="355" t="s">
        <v>705</v>
      </c>
      <c r="C29" s="443">
        <v>17</v>
      </c>
      <c r="D29" s="444">
        <v>19</v>
      </c>
      <c r="E29" s="443">
        <v>23</v>
      </c>
      <c r="F29" s="443">
        <v>24</v>
      </c>
      <c r="G29" s="443">
        <v>26</v>
      </c>
      <c r="H29" s="443">
        <v>27</v>
      </c>
      <c r="I29" s="443">
        <v>28</v>
      </c>
      <c r="J29" s="443">
        <v>29</v>
      </c>
      <c r="K29" s="446">
        <v>37</v>
      </c>
      <c r="L29" s="443">
        <v>38</v>
      </c>
      <c r="M29" s="443">
        <v>39</v>
      </c>
      <c r="N29" s="450"/>
    </row>
    <row r="30" spans="1:15" ht="25.5">
      <c r="A30" s="444"/>
      <c r="B30" s="446" t="s">
        <v>681</v>
      </c>
      <c r="C30" s="447" t="s">
        <v>706</v>
      </c>
      <c r="D30" s="292" t="s">
        <v>707</v>
      </c>
      <c r="E30" s="292" t="s">
        <v>708</v>
      </c>
      <c r="F30" s="292" t="str">
        <f>+E30</f>
        <v>263.i</v>
      </c>
      <c r="G30" s="292" t="str">
        <f>+F30</f>
        <v>263.i</v>
      </c>
      <c r="H30" s="292" t="str">
        <f>+G30</f>
        <v>263.i</v>
      </c>
      <c r="I30" s="292" t="str">
        <f>+H30</f>
        <v>263.i</v>
      </c>
      <c r="J30" s="292" t="str">
        <f>+I30</f>
        <v>263.i</v>
      </c>
      <c r="K30" s="292" t="s">
        <v>709</v>
      </c>
      <c r="L30" s="292" t="s">
        <v>182</v>
      </c>
      <c r="M30" s="292" t="s">
        <v>710</v>
      </c>
      <c r="N30" s="450"/>
    </row>
    <row r="31" spans="1:15" s="448" customFormat="1">
      <c r="A31" s="444"/>
      <c r="B31" s="446"/>
      <c r="N31" s="292"/>
    </row>
    <row r="32" spans="1:15">
      <c r="A32" s="444"/>
      <c r="C32" s="443"/>
      <c r="E32" s="443"/>
      <c r="F32" s="443"/>
      <c r="G32" s="443"/>
      <c r="H32" s="443"/>
      <c r="I32" s="443"/>
      <c r="J32" s="443"/>
      <c r="K32" s="443"/>
      <c r="L32" s="443"/>
      <c r="M32" s="443"/>
      <c r="N32" s="450"/>
    </row>
    <row r="33" spans="1:15">
      <c r="A33" s="444" t="s">
        <v>382</v>
      </c>
      <c r="B33" s="450" t="s">
        <v>573</v>
      </c>
      <c r="C33" s="458">
        <v>0</v>
      </c>
      <c r="D33" s="458">
        <v>0</v>
      </c>
      <c r="E33" s="458">
        <v>0</v>
      </c>
      <c r="F33" s="458">
        <v>0</v>
      </c>
      <c r="G33" s="458">
        <v>0</v>
      </c>
      <c r="H33" s="458">
        <v>0</v>
      </c>
      <c r="I33" s="458">
        <v>0</v>
      </c>
      <c r="J33" s="458">
        <v>0</v>
      </c>
      <c r="K33" s="458">
        <v>0</v>
      </c>
      <c r="L33" s="458">
        <v>0</v>
      </c>
      <c r="M33" s="458">
        <v>0</v>
      </c>
      <c r="N33" s="450"/>
    </row>
    <row r="34" spans="1:15">
      <c r="A34" s="444" t="s">
        <v>385</v>
      </c>
      <c r="B34" s="450" t="s">
        <v>574</v>
      </c>
      <c r="C34" s="458">
        <v>0</v>
      </c>
      <c r="D34" s="458">
        <v>0</v>
      </c>
      <c r="E34" s="458">
        <v>0</v>
      </c>
      <c r="F34" s="458">
        <v>0</v>
      </c>
      <c r="G34" s="57">
        <v>0</v>
      </c>
      <c r="H34" s="458">
        <v>0</v>
      </c>
      <c r="I34" s="458">
        <v>0</v>
      </c>
      <c r="J34" s="458">
        <v>0</v>
      </c>
      <c r="K34" s="458">
        <v>0</v>
      </c>
      <c r="L34" s="458">
        <v>0</v>
      </c>
      <c r="M34" s="458">
        <v>0</v>
      </c>
      <c r="N34" s="450"/>
    </row>
    <row r="35" spans="1:15">
      <c r="A35" s="444" t="s">
        <v>388</v>
      </c>
      <c r="B35" s="450" t="s">
        <v>644</v>
      </c>
      <c r="C35" s="458">
        <v>0</v>
      </c>
      <c r="D35" s="458">
        <v>0</v>
      </c>
      <c r="E35" s="458">
        <v>0</v>
      </c>
      <c r="F35" s="458">
        <v>0</v>
      </c>
      <c r="G35" s="57">
        <v>0</v>
      </c>
      <c r="H35" s="458">
        <v>0</v>
      </c>
      <c r="I35" s="458">
        <v>0</v>
      </c>
      <c r="J35" s="458">
        <v>0</v>
      </c>
      <c r="K35" s="458">
        <v>0</v>
      </c>
      <c r="L35" s="458">
        <v>0</v>
      </c>
      <c r="M35" s="458">
        <v>0</v>
      </c>
      <c r="N35" s="450"/>
    </row>
    <row r="36" spans="1:15">
      <c r="A36" s="444" t="s">
        <v>711</v>
      </c>
      <c r="B36" s="450" t="s">
        <v>576</v>
      </c>
      <c r="C36" s="458">
        <v>0</v>
      </c>
      <c r="D36" s="458">
        <v>0</v>
      </c>
      <c r="E36" s="458">
        <v>0</v>
      </c>
      <c r="F36" s="458">
        <v>0</v>
      </c>
      <c r="G36" s="57">
        <v>0</v>
      </c>
      <c r="H36" s="458">
        <v>0</v>
      </c>
      <c r="I36" s="458">
        <v>0</v>
      </c>
      <c r="J36" s="458">
        <v>0</v>
      </c>
      <c r="K36" s="458">
        <v>0</v>
      </c>
      <c r="L36" s="458">
        <v>0</v>
      </c>
      <c r="M36" s="458">
        <v>0</v>
      </c>
      <c r="N36" s="450"/>
    </row>
    <row r="37" spans="1:15">
      <c r="A37" s="444" t="s">
        <v>712</v>
      </c>
      <c r="B37" s="450" t="s">
        <v>577</v>
      </c>
      <c r="C37" s="458">
        <v>0</v>
      </c>
      <c r="D37" s="458">
        <v>0</v>
      </c>
      <c r="E37" s="458">
        <v>0</v>
      </c>
      <c r="F37" s="458">
        <v>0</v>
      </c>
      <c r="G37" s="57">
        <v>0</v>
      </c>
      <c r="H37" s="458">
        <v>0</v>
      </c>
      <c r="I37" s="458">
        <v>0</v>
      </c>
      <c r="J37" s="458">
        <v>0</v>
      </c>
      <c r="K37" s="458">
        <v>0</v>
      </c>
      <c r="L37" s="458">
        <v>0</v>
      </c>
      <c r="M37" s="458">
        <v>0</v>
      </c>
      <c r="N37" s="450"/>
    </row>
    <row r="38" spans="1:15">
      <c r="A38" s="444" t="s">
        <v>713</v>
      </c>
      <c r="B38" s="450" t="s">
        <v>578</v>
      </c>
      <c r="C38" s="458">
        <v>0</v>
      </c>
      <c r="D38" s="458">
        <v>0</v>
      </c>
      <c r="E38" s="458">
        <v>0</v>
      </c>
      <c r="F38" s="458">
        <v>0</v>
      </c>
      <c r="G38" s="57">
        <v>0</v>
      </c>
      <c r="H38" s="458">
        <v>0</v>
      </c>
      <c r="I38" s="458">
        <v>0</v>
      </c>
      <c r="J38" s="458">
        <v>0</v>
      </c>
      <c r="K38" s="458">
        <v>0</v>
      </c>
      <c r="L38" s="458">
        <v>0</v>
      </c>
      <c r="M38" s="458">
        <v>0</v>
      </c>
      <c r="N38" s="450"/>
    </row>
    <row r="39" spans="1:15">
      <c r="A39" s="444" t="s">
        <v>714</v>
      </c>
      <c r="B39" s="450" t="s">
        <v>579</v>
      </c>
      <c r="C39" s="458">
        <v>0</v>
      </c>
      <c r="D39" s="458">
        <v>0</v>
      </c>
      <c r="E39" s="458">
        <v>0</v>
      </c>
      <c r="F39" s="57">
        <v>0</v>
      </c>
      <c r="G39" s="57">
        <v>0</v>
      </c>
      <c r="H39" s="458">
        <v>0</v>
      </c>
      <c r="I39" s="458">
        <v>0</v>
      </c>
      <c r="J39" s="458">
        <v>0</v>
      </c>
      <c r="K39" s="458">
        <v>0</v>
      </c>
      <c r="L39" s="458">
        <v>0</v>
      </c>
      <c r="M39" s="458">
        <v>0</v>
      </c>
      <c r="N39" s="450"/>
    </row>
    <row r="40" spans="1:15">
      <c r="A40" s="444" t="s">
        <v>715</v>
      </c>
      <c r="B40" s="450" t="s">
        <v>645</v>
      </c>
      <c r="C40" s="458">
        <v>0</v>
      </c>
      <c r="D40" s="458">
        <v>0</v>
      </c>
      <c r="E40" s="458">
        <v>0</v>
      </c>
      <c r="F40" s="57">
        <v>0</v>
      </c>
      <c r="G40" s="57">
        <v>0</v>
      </c>
      <c r="H40" s="458">
        <v>0</v>
      </c>
      <c r="I40" s="458">
        <v>0</v>
      </c>
      <c r="J40" s="458">
        <v>0</v>
      </c>
      <c r="K40" s="458">
        <v>0</v>
      </c>
      <c r="L40" s="458">
        <v>0</v>
      </c>
      <c r="M40" s="458">
        <v>0</v>
      </c>
      <c r="N40" s="450"/>
    </row>
    <row r="41" spans="1:15">
      <c r="A41" s="444" t="s">
        <v>716</v>
      </c>
      <c r="B41" s="450" t="s">
        <v>581</v>
      </c>
      <c r="C41" s="458">
        <v>0</v>
      </c>
      <c r="D41" s="458">
        <v>0</v>
      </c>
      <c r="E41" s="458">
        <v>0</v>
      </c>
      <c r="F41" s="57">
        <v>0</v>
      </c>
      <c r="G41" s="57">
        <v>0</v>
      </c>
      <c r="H41" s="458">
        <v>0</v>
      </c>
      <c r="I41" s="458">
        <v>0</v>
      </c>
      <c r="J41" s="458">
        <v>0</v>
      </c>
      <c r="K41" s="458">
        <v>0</v>
      </c>
      <c r="L41" s="458">
        <v>0</v>
      </c>
      <c r="M41" s="458">
        <v>0</v>
      </c>
      <c r="N41" s="450"/>
    </row>
    <row r="42" spans="1:15">
      <c r="A42" s="444" t="s">
        <v>717</v>
      </c>
      <c r="B42" s="450" t="s">
        <v>582</v>
      </c>
      <c r="C42" s="458">
        <v>0</v>
      </c>
      <c r="D42" s="458">
        <v>0</v>
      </c>
      <c r="E42" s="458">
        <v>0</v>
      </c>
      <c r="F42" s="57">
        <v>0</v>
      </c>
      <c r="G42" s="57">
        <v>0</v>
      </c>
      <c r="H42" s="458">
        <v>0</v>
      </c>
      <c r="I42" s="458">
        <v>0</v>
      </c>
      <c r="J42" s="458">
        <v>0</v>
      </c>
      <c r="K42" s="458">
        <v>0</v>
      </c>
      <c r="L42" s="458">
        <v>0</v>
      </c>
      <c r="M42" s="458">
        <v>0</v>
      </c>
      <c r="N42" s="450"/>
    </row>
    <row r="43" spans="1:15">
      <c r="A43" s="444" t="s">
        <v>718</v>
      </c>
      <c r="B43" s="450" t="s">
        <v>583</v>
      </c>
      <c r="C43" s="458">
        <v>0</v>
      </c>
      <c r="D43" s="458">
        <v>0</v>
      </c>
      <c r="E43" s="458">
        <v>0</v>
      </c>
      <c r="F43" s="57">
        <v>0</v>
      </c>
      <c r="G43" s="57">
        <v>0</v>
      </c>
      <c r="H43" s="458">
        <v>0</v>
      </c>
      <c r="I43" s="458">
        <v>0</v>
      </c>
      <c r="J43" s="458">
        <v>0</v>
      </c>
      <c r="K43" s="458">
        <v>0</v>
      </c>
      <c r="L43" s="458">
        <v>0</v>
      </c>
      <c r="M43" s="458">
        <v>0</v>
      </c>
      <c r="N43" s="450"/>
    </row>
    <row r="44" spans="1:15">
      <c r="A44" s="444" t="s">
        <v>719</v>
      </c>
      <c r="B44" s="450" t="s">
        <v>646</v>
      </c>
      <c r="C44" s="458">
        <v>0</v>
      </c>
      <c r="D44" s="458">
        <v>0</v>
      </c>
      <c r="E44" s="458">
        <v>0</v>
      </c>
      <c r="F44" s="57">
        <v>0</v>
      </c>
      <c r="G44" s="57">
        <v>0</v>
      </c>
      <c r="H44" s="458">
        <v>0</v>
      </c>
      <c r="I44" s="458">
        <v>0</v>
      </c>
      <c r="J44" s="458">
        <v>0</v>
      </c>
      <c r="K44" s="458">
        <v>0</v>
      </c>
      <c r="L44" s="458">
        <v>0</v>
      </c>
      <c r="M44" s="458">
        <v>0</v>
      </c>
      <c r="N44" s="450"/>
    </row>
    <row r="45" spans="1:15">
      <c r="A45" s="444" t="s">
        <v>720</v>
      </c>
      <c r="B45" s="453" t="s">
        <v>22</v>
      </c>
      <c r="C45" s="454">
        <f t="shared" ref="C45:M45" si="1">SUM(C33:C44)</f>
        <v>0</v>
      </c>
      <c r="D45" s="454">
        <f t="shared" si="1"/>
        <v>0</v>
      </c>
      <c r="E45" s="454">
        <f t="shared" si="1"/>
        <v>0</v>
      </c>
      <c r="F45" s="454">
        <f t="shared" si="1"/>
        <v>0</v>
      </c>
      <c r="G45" s="454">
        <f>SUM(G33:G44)</f>
        <v>0</v>
      </c>
      <c r="H45" s="454">
        <f t="shared" si="1"/>
        <v>0</v>
      </c>
      <c r="I45" s="454">
        <f t="shared" si="1"/>
        <v>0</v>
      </c>
      <c r="J45" s="454">
        <f t="shared" si="1"/>
        <v>0</v>
      </c>
      <c r="K45" s="454">
        <f t="shared" si="1"/>
        <v>0</v>
      </c>
      <c r="L45" s="454">
        <f t="shared" si="1"/>
        <v>0</v>
      </c>
      <c r="M45" s="454">
        <f t="shared" si="1"/>
        <v>0</v>
      </c>
      <c r="N45" s="450"/>
    </row>
    <row r="46" spans="1:15">
      <c r="B46" s="450"/>
      <c r="C46" s="450"/>
      <c r="D46" s="450"/>
      <c r="E46" s="450"/>
      <c r="F46" s="450"/>
      <c r="G46" s="443" t="s">
        <v>666</v>
      </c>
      <c r="H46" s="450"/>
      <c r="I46" s="450"/>
      <c r="J46" s="450"/>
      <c r="M46" s="346" t="s">
        <v>391</v>
      </c>
      <c r="N46" s="450"/>
      <c r="O46" s="457"/>
    </row>
    <row r="47" spans="1:15">
      <c r="B47" s="450"/>
      <c r="C47" s="450"/>
      <c r="D47" s="450"/>
      <c r="E47" s="450"/>
      <c r="F47" s="450"/>
      <c r="G47" s="443" t="s">
        <v>667</v>
      </c>
      <c r="H47" s="450"/>
      <c r="I47" s="450"/>
      <c r="J47" s="450"/>
      <c r="N47" s="450"/>
      <c r="O47" s="457"/>
    </row>
    <row r="48" spans="1:15">
      <c r="B48" s="450"/>
      <c r="C48" s="450"/>
      <c r="D48" s="450"/>
      <c r="E48" s="450"/>
      <c r="F48" s="450"/>
      <c r="G48" s="50" t="str">
        <f>'Attachment H'!$D$5</f>
        <v>NextEra Energy Transmission MidAtlantic Indiana, Inc.</v>
      </c>
      <c r="H48" s="450"/>
      <c r="I48" s="450"/>
      <c r="J48" s="450"/>
      <c r="N48" s="450"/>
      <c r="O48" s="457"/>
    </row>
    <row r="49" spans="1:15">
      <c r="B49" s="450"/>
      <c r="C49" s="450"/>
      <c r="D49" s="450"/>
      <c r="E49" s="450"/>
      <c r="F49" s="450"/>
      <c r="G49" s="450"/>
      <c r="H49" s="450"/>
      <c r="I49" s="450"/>
      <c r="J49" s="450"/>
      <c r="N49" s="450"/>
      <c r="O49" s="457"/>
    </row>
    <row r="50" spans="1:15">
      <c r="B50" s="450"/>
      <c r="C50" s="450"/>
      <c r="D50" s="450"/>
      <c r="E50" s="450"/>
      <c r="F50" s="450"/>
      <c r="G50" s="450"/>
      <c r="H50" s="450"/>
      <c r="I50" s="450"/>
      <c r="J50" s="450"/>
      <c r="N50" s="450"/>
      <c r="O50" s="457"/>
    </row>
    <row r="51" spans="1:15" ht="129" customHeight="1">
      <c r="B51" s="459"/>
      <c r="C51" s="460" t="s">
        <v>721</v>
      </c>
      <c r="D51" s="461" t="s">
        <v>269</v>
      </c>
      <c r="E51" s="461" t="s">
        <v>722</v>
      </c>
      <c r="F51" s="462" t="s">
        <v>723</v>
      </c>
      <c r="G51" s="463" t="s">
        <v>27</v>
      </c>
      <c r="H51" s="450"/>
      <c r="I51" s="450"/>
      <c r="J51" s="450"/>
      <c r="N51" s="450"/>
      <c r="O51" s="450"/>
    </row>
    <row r="52" spans="1:15">
      <c r="C52" s="443" t="s">
        <v>536</v>
      </c>
      <c r="D52" s="345" t="s">
        <v>537</v>
      </c>
      <c r="E52" s="345" t="s">
        <v>538</v>
      </c>
      <c r="F52" s="356" t="s">
        <v>539</v>
      </c>
      <c r="G52" s="356" t="s">
        <v>559</v>
      </c>
      <c r="H52" s="450"/>
      <c r="I52" s="450"/>
      <c r="J52" s="450"/>
      <c r="N52" s="450"/>
      <c r="O52" s="450"/>
    </row>
    <row r="53" spans="1:15" ht="25.5">
      <c r="B53" s="355" t="s">
        <v>724</v>
      </c>
      <c r="C53" s="443">
        <v>27</v>
      </c>
      <c r="D53" s="444" t="s">
        <v>725</v>
      </c>
      <c r="E53" s="443">
        <v>31</v>
      </c>
      <c r="F53" s="443">
        <v>32</v>
      </c>
      <c r="G53" s="446" t="s">
        <v>726</v>
      </c>
      <c r="H53" s="443"/>
      <c r="I53" s="443"/>
      <c r="J53" s="450"/>
    </row>
    <row r="54" spans="1:15" ht="25.5">
      <c r="B54" s="446"/>
      <c r="C54" s="447" t="s">
        <v>727</v>
      </c>
      <c r="D54" s="292" t="s">
        <v>728</v>
      </c>
      <c r="E54" s="353" t="s">
        <v>729</v>
      </c>
      <c r="F54" s="3" t="str">
        <f>+E54</f>
        <v>Portion of Account 456.1</v>
      </c>
      <c r="H54" s="443"/>
      <c r="L54" s="443"/>
      <c r="M54" s="443"/>
    </row>
    <row r="55" spans="1:15">
      <c r="C55" s="443"/>
      <c r="E55" s="443"/>
      <c r="F55" s="443"/>
      <c r="G55" s="443"/>
      <c r="H55" s="443"/>
      <c r="I55" s="4"/>
      <c r="L55" s="443"/>
      <c r="M55" s="443"/>
    </row>
    <row r="56" spans="1:15">
      <c r="A56" s="464">
        <f>+A45+1</f>
        <v>27</v>
      </c>
      <c r="B56" s="450" t="s">
        <v>573</v>
      </c>
      <c r="C56" s="458">
        <v>0</v>
      </c>
      <c r="D56" s="458">
        <v>0</v>
      </c>
      <c r="E56" s="458">
        <v>0</v>
      </c>
      <c r="F56" s="458">
        <v>0</v>
      </c>
      <c r="G56" s="458">
        <v>0</v>
      </c>
      <c r="H56" s="450"/>
      <c r="I56" s="4"/>
      <c r="L56" s="450"/>
      <c r="M56" s="450"/>
    </row>
    <row r="57" spans="1:15">
      <c r="A57" s="464">
        <f t="shared" ref="A57:A88" si="2">+A56+1</f>
        <v>28</v>
      </c>
      <c r="B57" s="450" t="s">
        <v>574</v>
      </c>
      <c r="C57" s="458">
        <v>0</v>
      </c>
      <c r="D57" s="458">
        <v>0</v>
      </c>
      <c r="E57" s="458">
        <v>0</v>
      </c>
      <c r="F57" s="458">
        <v>0</v>
      </c>
      <c r="G57" s="458">
        <v>0</v>
      </c>
      <c r="H57" s="450"/>
      <c r="L57" s="450"/>
      <c r="M57" s="450"/>
    </row>
    <row r="58" spans="1:15">
      <c r="A58" s="464">
        <f t="shared" si="2"/>
        <v>29</v>
      </c>
      <c r="B58" s="450" t="s">
        <v>644</v>
      </c>
      <c r="C58" s="458">
        <v>0</v>
      </c>
      <c r="D58" s="458">
        <v>0</v>
      </c>
      <c r="E58" s="458">
        <v>0</v>
      </c>
      <c r="F58" s="458">
        <v>0</v>
      </c>
      <c r="G58" s="458">
        <v>0</v>
      </c>
      <c r="H58" s="450"/>
      <c r="I58" s="4"/>
      <c r="L58" s="450"/>
      <c r="M58" s="450"/>
    </row>
    <row r="59" spans="1:15">
      <c r="A59" s="464">
        <f t="shared" si="2"/>
        <v>30</v>
      </c>
      <c r="B59" s="450" t="s">
        <v>576</v>
      </c>
      <c r="C59" s="458">
        <v>0</v>
      </c>
      <c r="D59" s="458">
        <v>0</v>
      </c>
      <c r="E59" s="458">
        <v>0</v>
      </c>
      <c r="F59" s="458">
        <v>0</v>
      </c>
      <c r="G59" s="458">
        <v>0</v>
      </c>
      <c r="H59" s="450"/>
      <c r="I59" s="5"/>
      <c r="L59" s="450"/>
      <c r="M59" s="450"/>
    </row>
    <row r="60" spans="1:15">
      <c r="A60" s="464">
        <f t="shared" si="2"/>
        <v>31</v>
      </c>
      <c r="B60" s="450" t="s">
        <v>577</v>
      </c>
      <c r="C60" s="458">
        <v>0</v>
      </c>
      <c r="D60" s="458">
        <v>0</v>
      </c>
      <c r="E60" s="458">
        <v>0</v>
      </c>
      <c r="F60" s="458">
        <v>0</v>
      </c>
      <c r="G60" s="458">
        <v>0</v>
      </c>
      <c r="H60" s="450"/>
      <c r="L60" s="450"/>
      <c r="M60" s="450"/>
    </row>
    <row r="61" spans="1:15">
      <c r="A61" s="464">
        <f t="shared" si="2"/>
        <v>32</v>
      </c>
      <c r="B61" s="450" t="s">
        <v>578</v>
      </c>
      <c r="C61" s="458">
        <v>0</v>
      </c>
      <c r="D61" s="458">
        <v>0</v>
      </c>
      <c r="E61" s="458">
        <v>0</v>
      </c>
      <c r="F61" s="458">
        <v>0</v>
      </c>
      <c r="G61" s="458">
        <v>0</v>
      </c>
      <c r="H61" s="450"/>
      <c r="L61" s="450"/>
      <c r="M61" s="450"/>
    </row>
    <row r="62" spans="1:15">
      <c r="A62" s="464">
        <f t="shared" si="2"/>
        <v>33</v>
      </c>
      <c r="B62" s="450" t="s">
        <v>579</v>
      </c>
      <c r="C62" s="458">
        <v>0</v>
      </c>
      <c r="D62" s="458">
        <v>0</v>
      </c>
      <c r="E62" s="458">
        <v>0</v>
      </c>
      <c r="F62" s="458">
        <v>0</v>
      </c>
      <c r="G62" s="458">
        <v>0</v>
      </c>
      <c r="H62" s="450"/>
      <c r="L62" s="450"/>
      <c r="M62" s="450"/>
    </row>
    <row r="63" spans="1:15">
      <c r="A63" s="464">
        <f t="shared" si="2"/>
        <v>34</v>
      </c>
      <c r="B63" s="450" t="s">
        <v>645</v>
      </c>
      <c r="C63" s="458">
        <v>0</v>
      </c>
      <c r="D63" s="458">
        <v>0</v>
      </c>
      <c r="E63" s="458">
        <v>0</v>
      </c>
      <c r="F63" s="458">
        <v>0</v>
      </c>
      <c r="G63" s="458">
        <v>0</v>
      </c>
      <c r="H63" s="450"/>
      <c r="L63" s="450"/>
      <c r="M63" s="450"/>
    </row>
    <row r="64" spans="1:15">
      <c r="A64" s="464">
        <f t="shared" si="2"/>
        <v>35</v>
      </c>
      <c r="B64" s="450" t="s">
        <v>581</v>
      </c>
      <c r="C64" s="458">
        <v>0</v>
      </c>
      <c r="D64" s="458">
        <v>0</v>
      </c>
      <c r="E64" s="458">
        <v>0</v>
      </c>
      <c r="F64" s="458">
        <v>0</v>
      </c>
      <c r="G64" s="458">
        <v>0</v>
      </c>
      <c r="H64" s="450"/>
      <c r="L64" s="450"/>
      <c r="M64" s="450"/>
    </row>
    <row r="65" spans="1:15">
      <c r="A65" s="464">
        <f t="shared" si="2"/>
        <v>36</v>
      </c>
      <c r="B65" s="450" t="s">
        <v>582</v>
      </c>
      <c r="C65" s="458">
        <v>0</v>
      </c>
      <c r="D65" s="458">
        <v>0</v>
      </c>
      <c r="E65" s="458">
        <v>0</v>
      </c>
      <c r="F65" s="458">
        <v>0</v>
      </c>
      <c r="G65" s="458">
        <v>0</v>
      </c>
      <c r="H65" s="450"/>
      <c r="L65" s="450"/>
      <c r="M65" s="450"/>
    </row>
    <row r="66" spans="1:15">
      <c r="A66" s="464">
        <f t="shared" si="2"/>
        <v>37</v>
      </c>
      <c r="B66" s="450" t="s">
        <v>583</v>
      </c>
      <c r="C66" s="458">
        <v>0</v>
      </c>
      <c r="D66" s="458">
        <v>0</v>
      </c>
      <c r="E66" s="458">
        <v>0</v>
      </c>
      <c r="F66" s="458">
        <v>0</v>
      </c>
      <c r="G66" s="458">
        <v>0</v>
      </c>
      <c r="H66" s="450"/>
      <c r="L66" s="450"/>
      <c r="M66" s="450"/>
    </row>
    <row r="67" spans="1:15">
      <c r="A67" s="464">
        <f t="shared" si="2"/>
        <v>38</v>
      </c>
      <c r="B67" s="450" t="s">
        <v>646</v>
      </c>
      <c r="C67" s="458">
        <v>0</v>
      </c>
      <c r="D67" s="458">
        <v>0</v>
      </c>
      <c r="E67" s="458">
        <v>0</v>
      </c>
      <c r="F67" s="458">
        <v>0</v>
      </c>
      <c r="G67" s="458">
        <v>0</v>
      </c>
      <c r="H67" s="450"/>
      <c r="L67" s="450"/>
      <c r="M67" s="450"/>
      <c r="N67" s="450"/>
      <c r="O67" s="450"/>
    </row>
    <row r="68" spans="1:15">
      <c r="A68" s="464">
        <f t="shared" si="2"/>
        <v>39</v>
      </c>
      <c r="B68" s="453" t="s">
        <v>22</v>
      </c>
      <c r="C68" s="454">
        <f>SUM(C56:C67)</f>
        <v>0</v>
      </c>
      <c r="D68" s="454">
        <f>SUM(D56:D67)</f>
        <v>0</v>
      </c>
      <c r="E68" s="454">
        <f>SUM(E56:E67)</f>
        <v>0</v>
      </c>
      <c r="F68" s="454">
        <f>SUM(F56:F67)</f>
        <v>0</v>
      </c>
      <c r="G68" s="454">
        <f>SUM(G56:G67)</f>
        <v>0</v>
      </c>
      <c r="H68" s="450"/>
      <c r="I68" s="450"/>
      <c r="J68" s="450"/>
      <c r="N68" s="450"/>
      <c r="O68" s="450"/>
    </row>
    <row r="69" spans="1:15">
      <c r="A69" s="464">
        <f t="shared" si="2"/>
        <v>40</v>
      </c>
      <c r="B69" s="450"/>
      <c r="C69" s="450"/>
      <c r="D69" s="450"/>
      <c r="E69" s="450"/>
      <c r="F69" s="450"/>
      <c r="G69" s="450"/>
      <c r="H69" s="450"/>
      <c r="I69" s="450"/>
      <c r="J69" s="450"/>
      <c r="N69" s="450"/>
      <c r="O69" s="450"/>
    </row>
    <row r="70" spans="1:15">
      <c r="A70" s="464">
        <f t="shared" si="2"/>
        <v>41</v>
      </c>
      <c r="B70" s="5" t="s">
        <v>246</v>
      </c>
      <c r="C70" s="11"/>
      <c r="F70" s="11"/>
      <c r="G70" s="11"/>
      <c r="H70" s="11"/>
      <c r="I70" s="11"/>
      <c r="J70" s="11"/>
      <c r="K70" s="12"/>
      <c r="L70" s="11"/>
      <c r="N70" s="450"/>
      <c r="O70" s="450"/>
    </row>
    <row r="71" spans="1:15" ht="24" customHeight="1">
      <c r="A71" s="464"/>
      <c r="B71" s="5" t="s">
        <v>730</v>
      </c>
      <c r="C71" s="11"/>
      <c r="F71" s="11"/>
      <c r="G71" s="11"/>
      <c r="H71" s="11"/>
      <c r="I71" s="11"/>
      <c r="J71" s="11"/>
      <c r="K71" s="12"/>
      <c r="L71" s="11"/>
      <c r="N71" s="450"/>
      <c r="O71" s="450"/>
    </row>
    <row r="72" spans="1:15" ht="16.5" thickBot="1">
      <c r="A72" s="464"/>
      <c r="B72" s="5"/>
      <c r="C72" s="11"/>
      <c r="D72" s="465"/>
      <c r="E72" s="465"/>
      <c r="F72" s="465"/>
      <c r="G72" s="465"/>
      <c r="H72" s="465"/>
      <c r="I72" s="465"/>
      <c r="J72" s="466" t="s">
        <v>220</v>
      </c>
      <c r="K72" s="12"/>
      <c r="L72" s="11"/>
      <c r="N72" s="467"/>
      <c r="O72" s="467"/>
    </row>
    <row r="73" spans="1:15" ht="15.75">
      <c r="A73" s="464">
        <f>+A70+1</f>
        <v>42</v>
      </c>
      <c r="B73" s="5"/>
      <c r="C73" s="11"/>
      <c r="D73" s="465" t="s">
        <v>731</v>
      </c>
      <c r="E73" s="465"/>
      <c r="F73" s="465"/>
      <c r="G73" s="465"/>
      <c r="H73" s="465"/>
      <c r="I73" s="465"/>
      <c r="J73" s="468">
        <v>0</v>
      </c>
      <c r="N73" s="450"/>
      <c r="O73" s="450"/>
    </row>
    <row r="74" spans="1:15" ht="15.75">
      <c r="A74" s="464"/>
      <c r="B74" s="5"/>
      <c r="C74" s="11"/>
      <c r="D74" s="465"/>
      <c r="E74" s="465"/>
      <c r="F74" s="465"/>
      <c r="G74" s="465"/>
      <c r="H74" s="465"/>
      <c r="I74" s="465"/>
      <c r="J74" s="256"/>
      <c r="N74" s="450"/>
      <c r="O74" s="450"/>
    </row>
    <row r="75" spans="1:15" ht="15.75">
      <c r="A75" s="464">
        <f>+A73+1</f>
        <v>43</v>
      </c>
      <c r="B75" s="5"/>
      <c r="C75" s="11"/>
      <c r="D75" s="465" t="s">
        <v>732</v>
      </c>
      <c r="E75" s="465"/>
      <c r="F75" s="465"/>
      <c r="G75" s="465"/>
      <c r="H75" s="465"/>
      <c r="I75" s="465"/>
      <c r="J75" s="468">
        <v>0</v>
      </c>
      <c r="N75" s="450"/>
      <c r="O75" s="450"/>
    </row>
    <row r="76" spans="1:15" ht="15.75">
      <c r="A76" s="464"/>
      <c r="B76" s="5"/>
      <c r="C76" s="11"/>
      <c r="D76" s="465"/>
      <c r="E76" s="465"/>
      <c r="F76" s="465"/>
      <c r="G76" s="465"/>
      <c r="H76" s="465"/>
      <c r="I76" s="465"/>
      <c r="J76" s="256"/>
    </row>
    <row r="77" spans="1:15" ht="15.75">
      <c r="A77" s="464">
        <f>+A75+1</f>
        <v>44</v>
      </c>
      <c r="B77" s="5"/>
      <c r="C77" s="11"/>
      <c r="D77" s="465" t="s">
        <v>733</v>
      </c>
      <c r="E77" s="469"/>
      <c r="F77" s="465"/>
      <c r="G77" s="465"/>
      <c r="H77" s="465"/>
      <c r="I77" s="465"/>
      <c r="J77" s="468">
        <v>0</v>
      </c>
    </row>
    <row r="78" spans="1:15" ht="15.75">
      <c r="A78" s="464">
        <f t="shared" si="2"/>
        <v>45</v>
      </c>
      <c r="B78" s="5"/>
      <c r="C78" s="11"/>
      <c r="D78" s="465" t="s">
        <v>734</v>
      </c>
      <c r="E78" s="465"/>
      <c r="F78" s="465"/>
      <c r="G78" s="465"/>
      <c r="H78" s="465"/>
      <c r="I78" s="465"/>
      <c r="J78" s="470">
        <v>0</v>
      </c>
    </row>
    <row r="79" spans="1:15" ht="16.5" thickBot="1">
      <c r="A79" s="464">
        <f t="shared" si="2"/>
        <v>46</v>
      </c>
      <c r="B79" s="5"/>
      <c r="C79" s="11"/>
      <c r="D79" s="465" t="s">
        <v>735</v>
      </c>
      <c r="E79" s="465"/>
      <c r="F79" s="465"/>
      <c r="G79" s="465"/>
      <c r="H79" s="465"/>
      <c r="I79" s="465"/>
      <c r="J79" s="471">
        <v>0</v>
      </c>
    </row>
    <row r="80" spans="1:15" ht="15.75">
      <c r="A80" s="464">
        <f t="shared" si="2"/>
        <v>47</v>
      </c>
      <c r="B80" s="5"/>
      <c r="C80" s="11"/>
      <c r="D80" s="465" t="s">
        <v>736</v>
      </c>
      <c r="E80" s="469" t="s">
        <v>737</v>
      </c>
      <c r="F80" s="469"/>
      <c r="G80" s="469"/>
      <c r="H80" s="472"/>
      <c r="I80" s="469"/>
      <c r="J80" s="256">
        <f>+J77-J78-J79</f>
        <v>0</v>
      </c>
    </row>
    <row r="81" spans="1:12">
      <c r="A81" s="464"/>
      <c r="B81" s="5"/>
      <c r="C81" s="11"/>
      <c r="J81" s="25"/>
    </row>
    <row r="82" spans="1:12">
      <c r="A82" s="464"/>
      <c r="B82" s="5"/>
      <c r="C82" s="11"/>
      <c r="G82" s="11"/>
      <c r="H82" s="11"/>
      <c r="I82" s="11"/>
      <c r="J82" s="11"/>
      <c r="K82" s="12"/>
      <c r="L82" s="11"/>
    </row>
    <row r="83" spans="1:12">
      <c r="A83" s="464"/>
      <c r="B83" s="13"/>
      <c r="C83" s="11"/>
      <c r="F83" s="11"/>
      <c r="G83" s="11"/>
      <c r="H83" s="11"/>
      <c r="I83" s="12" t="s">
        <v>248</v>
      </c>
      <c r="J83" s="11"/>
      <c r="K83" s="11"/>
      <c r="L83" s="11"/>
    </row>
    <row r="84" spans="1:12" ht="13.5" thickBot="1">
      <c r="A84" s="464"/>
      <c r="B84" s="13"/>
      <c r="C84" s="11"/>
      <c r="F84" s="19" t="s">
        <v>220</v>
      </c>
      <c r="G84" s="19" t="s">
        <v>249</v>
      </c>
      <c r="H84" s="11"/>
      <c r="I84" s="43"/>
      <c r="J84" s="11"/>
      <c r="K84" s="19" t="s">
        <v>250</v>
      </c>
      <c r="L84" s="11"/>
    </row>
    <row r="85" spans="1:12">
      <c r="A85" s="464">
        <f>+A80+1</f>
        <v>48</v>
      </c>
      <c r="B85" s="5" t="s">
        <v>251</v>
      </c>
      <c r="C85" s="4" t="s">
        <v>738</v>
      </c>
      <c r="F85" s="373">
        <f>('4- Rate Base'!$C$23+'4- Rate Base'!$I$23)*0.4</f>
        <v>1932865.932</v>
      </c>
      <c r="G85" s="22">
        <f>IF(F$88=0,0,F85/F$88)</f>
        <v>0.4</v>
      </c>
      <c r="H85" s="22"/>
      <c r="I85" s="473">
        <v>3.7400000000000003E-2</v>
      </c>
      <c r="J85" s="22"/>
      <c r="K85" s="22">
        <f>G85*I85</f>
        <v>1.4960000000000001E-2</v>
      </c>
      <c r="L85" s="103" t="s">
        <v>253</v>
      </c>
    </row>
    <row r="86" spans="1:12">
      <c r="A86" s="464">
        <f t="shared" si="2"/>
        <v>49</v>
      </c>
      <c r="B86" s="5" t="s">
        <v>254</v>
      </c>
      <c r="C86" s="4" t="s">
        <v>542</v>
      </c>
      <c r="F86" s="373">
        <v>0</v>
      </c>
      <c r="G86" s="22">
        <f>IF(F$88=0,0,F86/F$88)</f>
        <v>0</v>
      </c>
      <c r="H86" s="22"/>
      <c r="I86" s="22">
        <v>0</v>
      </c>
      <c r="J86" s="22"/>
      <c r="K86" s="22">
        <f>G86*I86</f>
        <v>0</v>
      </c>
      <c r="L86" s="11"/>
    </row>
    <row r="87" spans="1:12" ht="13.5" thickBot="1">
      <c r="A87" s="464">
        <f t="shared" si="2"/>
        <v>50</v>
      </c>
      <c r="B87" s="5" t="s">
        <v>256</v>
      </c>
      <c r="C87" s="4" t="s">
        <v>739</v>
      </c>
      <c r="F87" s="474">
        <f>('4- Rate Base'!$C$23+'4- Rate Base'!$I$23)*0.6</f>
        <v>2899298.898</v>
      </c>
      <c r="G87" s="22">
        <f>IF(F$88=0,0,F87/F$88)</f>
        <v>0.6</v>
      </c>
      <c r="H87" s="47"/>
      <c r="I87" s="102">
        <v>0.10100000000000001</v>
      </c>
      <c r="J87" s="22"/>
      <c r="K87" s="26">
        <f>G87*I87</f>
        <v>6.0600000000000001E-2</v>
      </c>
      <c r="L87" s="11"/>
    </row>
    <row r="88" spans="1:12">
      <c r="A88" s="464">
        <f t="shared" si="2"/>
        <v>51</v>
      </c>
      <c r="B88" s="13" t="s">
        <v>258</v>
      </c>
      <c r="C88" s="4" t="s">
        <v>740</v>
      </c>
      <c r="F88" s="101">
        <f>SUM(F85:F87)</f>
        <v>4832164.83</v>
      </c>
      <c r="G88" s="22" t="s">
        <v>11</v>
      </c>
      <c r="H88" s="11"/>
      <c r="I88" s="22"/>
      <c r="J88" s="22"/>
      <c r="K88" s="22">
        <f>SUM(K85:K87)</f>
        <v>7.5560000000000002E-2</v>
      </c>
      <c r="L88" s="103" t="s">
        <v>260</v>
      </c>
    </row>
    <row r="89" spans="1:12">
      <c r="A89" s="464"/>
      <c r="G89" s="22"/>
    </row>
    <row r="90" spans="1:12">
      <c r="A90" s="3" t="s">
        <v>741</v>
      </c>
    </row>
    <row r="91" spans="1:12">
      <c r="A91" s="444" t="s">
        <v>431</v>
      </c>
      <c r="B91" s="3" t="s">
        <v>742</v>
      </c>
    </row>
    <row r="92" spans="1:12">
      <c r="A92" s="444"/>
      <c r="B92" s="475" t="s">
        <v>743</v>
      </c>
    </row>
    <row r="93" spans="1:12">
      <c r="A93" s="444" t="s">
        <v>433</v>
      </c>
      <c r="B93" s="3" t="s">
        <v>744</v>
      </c>
    </row>
    <row r="94" spans="1:12">
      <c r="A94" s="444" t="s">
        <v>286</v>
      </c>
      <c r="B94" s="3" t="s">
        <v>745</v>
      </c>
    </row>
    <row r="95" spans="1:12">
      <c r="A95" s="444"/>
      <c r="B95" s="129" t="s">
        <v>309</v>
      </c>
      <c r="C95" s="129"/>
      <c r="D95" s="129"/>
      <c r="E95" s="129"/>
      <c r="F95" s="129"/>
      <c r="G95" s="129"/>
      <c r="H95" s="129"/>
      <c r="I95" s="129"/>
      <c r="J95" s="129"/>
      <c r="K95" s="129"/>
    </row>
    <row r="96" spans="1:12">
      <c r="A96" s="444"/>
    </row>
  </sheetData>
  <mergeCells count="1">
    <mergeCell ref="B95:K95"/>
  </mergeCells>
  <pageMargins left="0.25" right="0.25" top="0.75" bottom="0.75" header="0.3" footer="0.3"/>
  <pageSetup scale="62" fitToHeight="0" orientation="landscape" r:id="rId1"/>
  <rowBreaks count="1" manualBreakCount="1">
    <brk id="4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5730-4138-4AD1-8A15-D51FCEE10E6F}">
  <dimension ref="A1:Z70"/>
  <sheetViews>
    <sheetView zoomScale="85" zoomScaleNormal="85" zoomScaleSheetLayoutView="100" workbookViewId="0">
      <selection activeCell="D253" sqref="D253"/>
    </sheetView>
  </sheetViews>
  <sheetFormatPr defaultColWidth="8.77734375" defaultRowHeight="12.75"/>
  <cols>
    <col min="1" max="1" width="4" style="3" customWidth="1"/>
    <col min="2" max="2" width="12" style="3" bestFit="1" customWidth="1"/>
    <col min="3" max="3" width="8.77734375" style="3"/>
    <col min="4" max="6" width="7.77734375" style="3" customWidth="1"/>
    <col min="7" max="7" width="8.21875" style="3" customWidth="1"/>
    <col min="8" max="16" width="7.77734375" style="3" customWidth="1"/>
    <col min="17" max="17" width="10.77734375" style="3" bestFit="1" customWidth="1"/>
    <col min="18" max="16384" width="8.77734375" style="3"/>
  </cols>
  <sheetData>
    <row r="1" spans="1:26">
      <c r="I1" s="154" t="s">
        <v>746</v>
      </c>
      <c r="Q1" s="346" t="s">
        <v>451</v>
      </c>
    </row>
    <row r="2" spans="1:26">
      <c r="I2" s="292" t="s">
        <v>747</v>
      </c>
    </row>
    <row r="3" spans="1:26">
      <c r="I3" s="50" t="str">
        <f>'Attachment H'!$D$5</f>
        <v>NextEra Energy Transmission MidAtlantic Indiana, Inc.</v>
      </c>
    </row>
    <row r="4" spans="1:26">
      <c r="I4" s="18"/>
    </row>
    <row r="5" spans="1:26">
      <c r="I5" s="18"/>
    </row>
    <row r="6" spans="1:26" ht="15">
      <c r="E6" s="476" t="s">
        <v>748</v>
      </c>
      <c r="F6" s="476" t="s">
        <v>749</v>
      </c>
      <c r="G6" s="477" t="s">
        <v>750</v>
      </c>
      <c r="H6" s="476" t="s">
        <v>751</v>
      </c>
    </row>
    <row r="7" spans="1:26" ht="51.75">
      <c r="A7" s="478"/>
      <c r="B7" s="479"/>
      <c r="C7" s="480" t="s">
        <v>752</v>
      </c>
      <c r="D7" s="480"/>
      <c r="E7" s="481" t="s">
        <v>753</v>
      </c>
      <c r="F7" s="481" t="s">
        <v>754</v>
      </c>
      <c r="G7" s="481" t="s">
        <v>755</v>
      </c>
      <c r="H7" s="481" t="s">
        <v>756</v>
      </c>
    </row>
    <row r="8" spans="1:26" ht="15">
      <c r="A8" s="478">
        <v>1</v>
      </c>
      <c r="B8" s="482"/>
      <c r="C8" s="483" t="s">
        <v>757</v>
      </c>
      <c r="D8" s="484"/>
      <c r="E8" s="485"/>
      <c r="F8" s="485"/>
      <c r="G8" s="486">
        <f>IF(F8&gt;0,MIN(E8:F8),E8)</f>
        <v>0</v>
      </c>
      <c r="H8" s="486">
        <f t="shared" ref="H8:H15" si="0">E8</f>
        <v>0</v>
      </c>
      <c r="R8" s="487"/>
      <c r="S8" s="488"/>
      <c r="T8" s="488"/>
      <c r="U8" s="488"/>
      <c r="V8" s="476"/>
      <c r="W8" s="476"/>
      <c r="X8" s="477"/>
      <c r="Y8" s="476"/>
      <c r="Z8" s="488"/>
    </row>
    <row r="9" spans="1:26" ht="15">
      <c r="A9" s="478">
        <v>2</v>
      </c>
      <c r="B9" s="482"/>
      <c r="C9" s="483" t="s">
        <v>758</v>
      </c>
      <c r="D9" s="484"/>
      <c r="E9" s="485"/>
      <c r="F9" s="485"/>
      <c r="G9" s="486">
        <f t="shared" ref="G9:G15" si="1">IF(F9&gt;0,MIN(E9:F9),E9)</f>
        <v>0</v>
      </c>
      <c r="H9" s="486">
        <f t="shared" si="0"/>
        <v>0</v>
      </c>
      <c r="R9" s="487"/>
      <c r="S9" s="488"/>
      <c r="T9" s="487"/>
      <c r="U9" s="487"/>
      <c r="V9" s="481"/>
      <c r="W9" s="481"/>
      <c r="X9" s="481"/>
      <c r="Y9" s="481"/>
      <c r="Z9" s="481"/>
    </row>
    <row r="10" spans="1:26" ht="15">
      <c r="A10" s="478">
        <v>3</v>
      </c>
      <c r="B10" s="482"/>
      <c r="C10" s="483" t="s">
        <v>759</v>
      </c>
      <c r="D10" s="484"/>
      <c r="E10" s="485"/>
      <c r="F10" s="485"/>
      <c r="G10" s="486">
        <f t="shared" si="1"/>
        <v>0</v>
      </c>
      <c r="H10" s="486">
        <f t="shared" si="0"/>
        <v>0</v>
      </c>
      <c r="R10" s="487"/>
      <c r="S10" s="488"/>
      <c r="T10" s="487"/>
      <c r="U10" s="487"/>
      <c r="V10" s="489"/>
      <c r="W10" s="489"/>
      <c r="X10" s="490"/>
      <c r="Y10" s="490"/>
      <c r="Z10" s="490"/>
    </row>
    <row r="11" spans="1:26" ht="15">
      <c r="A11" s="478">
        <v>4</v>
      </c>
      <c r="B11" s="482"/>
      <c r="C11" s="483" t="s">
        <v>760</v>
      </c>
      <c r="D11" s="484"/>
      <c r="E11" s="485"/>
      <c r="F11" s="485"/>
      <c r="G11" s="486">
        <f t="shared" si="1"/>
        <v>0</v>
      </c>
      <c r="H11" s="486">
        <f t="shared" si="0"/>
        <v>0</v>
      </c>
      <c r="R11" s="487"/>
      <c r="S11" s="488"/>
      <c r="T11" s="487"/>
      <c r="U11" s="487"/>
      <c r="V11" s="489"/>
      <c r="W11" s="489"/>
      <c r="X11" s="490"/>
      <c r="Y11" s="490"/>
      <c r="Z11" s="490"/>
    </row>
    <row r="12" spans="1:26" ht="15.75" customHeight="1">
      <c r="A12" s="478">
        <v>5</v>
      </c>
      <c r="B12" s="482"/>
      <c r="C12" s="483" t="s">
        <v>761</v>
      </c>
      <c r="D12" s="484"/>
      <c r="E12" s="485"/>
      <c r="F12" s="485"/>
      <c r="G12" s="486">
        <f t="shared" si="1"/>
        <v>0</v>
      </c>
      <c r="H12" s="486">
        <f t="shared" si="0"/>
        <v>0</v>
      </c>
      <c r="R12" s="487"/>
      <c r="S12" s="488"/>
      <c r="T12" s="487"/>
      <c r="U12" s="487"/>
      <c r="V12" s="489"/>
      <c r="W12" s="489"/>
      <c r="X12" s="490"/>
      <c r="Y12" s="490"/>
      <c r="Z12" s="490"/>
    </row>
    <row r="13" spans="1:26" ht="15">
      <c r="A13" s="478">
        <v>6</v>
      </c>
      <c r="B13" s="482"/>
      <c r="C13" s="483" t="s">
        <v>758</v>
      </c>
      <c r="D13" s="484"/>
      <c r="E13" s="485"/>
      <c r="F13" s="485"/>
      <c r="G13" s="486">
        <f t="shared" si="1"/>
        <v>0</v>
      </c>
      <c r="H13" s="486">
        <f t="shared" si="0"/>
        <v>0</v>
      </c>
      <c r="R13" s="487"/>
      <c r="S13" s="488"/>
      <c r="T13" s="487"/>
      <c r="U13" s="487"/>
      <c r="V13" s="489"/>
      <c r="W13" s="489"/>
      <c r="X13" s="490"/>
      <c r="Y13" s="490"/>
      <c r="Z13" s="490"/>
    </row>
    <row r="14" spans="1:26" ht="15">
      <c r="A14" s="478">
        <v>7</v>
      </c>
      <c r="B14" s="482"/>
      <c r="C14" s="483" t="s">
        <v>759</v>
      </c>
      <c r="D14" s="484"/>
      <c r="E14" s="485"/>
      <c r="F14" s="485"/>
      <c r="G14" s="486">
        <f t="shared" si="1"/>
        <v>0</v>
      </c>
      <c r="H14" s="486">
        <f t="shared" si="0"/>
        <v>0</v>
      </c>
      <c r="R14" s="487"/>
      <c r="S14" s="488"/>
      <c r="T14" s="488"/>
      <c r="U14" s="488"/>
      <c r="V14" s="488"/>
      <c r="W14" s="488"/>
      <c r="X14" s="488"/>
      <c r="Y14" s="488"/>
      <c r="Z14" s="488"/>
    </row>
    <row r="15" spans="1:26" ht="15">
      <c r="A15" s="478"/>
      <c r="B15" s="482"/>
      <c r="C15" s="482"/>
      <c r="D15" s="484"/>
      <c r="E15" s="485"/>
      <c r="F15" s="485"/>
      <c r="G15" s="491">
        <f t="shared" si="1"/>
        <v>0</v>
      </c>
      <c r="H15" s="491">
        <f t="shared" si="0"/>
        <v>0</v>
      </c>
      <c r="R15" s="487"/>
      <c r="S15" s="488"/>
      <c r="T15" s="488"/>
      <c r="U15" s="488"/>
      <c r="V15" s="488"/>
      <c r="W15" s="488"/>
      <c r="X15" s="488"/>
      <c r="Y15" s="488"/>
      <c r="Z15" s="488"/>
    </row>
    <row r="16" spans="1:26" ht="15">
      <c r="A16" s="478"/>
      <c r="B16" s="482"/>
      <c r="C16" s="483"/>
      <c r="D16" s="484"/>
      <c r="E16" s="484"/>
      <c r="F16" s="484"/>
      <c r="G16" s="484"/>
      <c r="H16" s="484"/>
      <c r="R16" s="487"/>
      <c r="S16" s="488"/>
      <c r="T16" s="488"/>
      <c r="U16" s="488"/>
      <c r="V16" s="492"/>
      <c r="W16" s="490"/>
      <c r="X16" s="488"/>
      <c r="Y16" s="488"/>
      <c r="Z16" s="488"/>
    </row>
    <row r="17" spans="1:26" ht="15">
      <c r="A17" s="478">
        <v>8</v>
      </c>
      <c r="B17" s="493" t="s">
        <v>762</v>
      </c>
      <c r="C17" s="482"/>
      <c r="D17" s="484"/>
      <c r="E17" s="484"/>
      <c r="F17" s="484"/>
      <c r="G17" s="494">
        <f>AVERAGE(G8:G14)</f>
        <v>0</v>
      </c>
      <c r="H17" s="494">
        <f>AVERAGE(H8:H14)</f>
        <v>0</v>
      </c>
      <c r="R17" s="487"/>
      <c r="S17" s="488"/>
      <c r="T17" s="488"/>
      <c r="U17" s="488"/>
      <c r="V17" s="492"/>
      <c r="W17" s="490"/>
      <c r="X17" s="488"/>
      <c r="Y17" s="488"/>
      <c r="Z17" s="488"/>
    </row>
    <row r="18" spans="1:26" ht="15">
      <c r="A18" s="482"/>
      <c r="B18" s="482"/>
      <c r="C18" s="482"/>
      <c r="D18" s="484"/>
      <c r="E18" s="484"/>
      <c r="F18" s="484"/>
      <c r="G18" s="484"/>
      <c r="H18" s="484"/>
      <c r="R18" s="487"/>
      <c r="S18" s="488"/>
      <c r="T18" s="488"/>
      <c r="U18" s="488"/>
      <c r="V18" s="488"/>
      <c r="W18" s="488"/>
      <c r="X18" s="488"/>
      <c r="Y18" s="488"/>
      <c r="Z18" s="488"/>
    </row>
    <row r="19" spans="1:26" ht="15">
      <c r="A19" s="482" t="s">
        <v>763</v>
      </c>
      <c r="B19" s="482"/>
      <c r="C19" s="482"/>
      <c r="D19" s="482"/>
      <c r="E19" s="482"/>
      <c r="F19" s="482"/>
      <c r="G19" s="482"/>
      <c r="H19" s="482"/>
      <c r="R19" s="487"/>
      <c r="S19" s="488"/>
      <c r="T19" s="488"/>
      <c r="U19" s="488"/>
      <c r="V19" s="488"/>
      <c r="W19" s="488"/>
      <c r="X19" s="488"/>
      <c r="Y19" s="488"/>
      <c r="Z19" s="488"/>
    </row>
    <row r="20" spans="1:26" ht="15">
      <c r="A20" s="482"/>
      <c r="B20" s="488" t="s">
        <v>764</v>
      </c>
      <c r="C20" s="482"/>
      <c r="D20" s="482"/>
      <c r="E20" s="482"/>
      <c r="F20" s="482"/>
      <c r="G20" s="482"/>
      <c r="H20" s="482"/>
      <c r="R20" s="487"/>
      <c r="S20" s="487"/>
      <c r="U20" s="488"/>
      <c r="V20" s="488"/>
      <c r="W20" s="488"/>
      <c r="X20" s="488"/>
      <c r="Y20" s="488"/>
      <c r="Z20" s="488"/>
    </row>
    <row r="21" spans="1:26" ht="15">
      <c r="A21" s="482"/>
      <c r="B21" s="488" t="s">
        <v>765</v>
      </c>
      <c r="C21" s="482"/>
      <c r="D21" s="482"/>
      <c r="E21" s="482"/>
      <c r="F21" s="482"/>
      <c r="G21" s="482"/>
      <c r="H21" s="482"/>
      <c r="R21" s="487"/>
      <c r="S21" s="488"/>
      <c r="U21" s="488"/>
      <c r="V21" s="488"/>
      <c r="W21" s="488"/>
      <c r="X21" s="488"/>
      <c r="Y21" s="488"/>
      <c r="Z21" s="488"/>
    </row>
    <row r="22" spans="1:26" ht="15">
      <c r="A22" s="482"/>
      <c r="B22" s="488" t="s">
        <v>766</v>
      </c>
      <c r="C22" s="482"/>
      <c r="D22" s="482"/>
      <c r="E22" s="482"/>
      <c r="F22" s="482"/>
      <c r="G22" s="482"/>
      <c r="H22" s="482"/>
      <c r="R22" s="487"/>
      <c r="S22" s="488"/>
      <c r="T22" s="488"/>
      <c r="U22" s="488"/>
      <c r="V22" s="488"/>
      <c r="W22" s="488"/>
      <c r="X22" s="488"/>
      <c r="Y22" s="488"/>
      <c r="Z22" s="488"/>
    </row>
    <row r="23" spans="1:26" ht="15">
      <c r="A23" s="482"/>
      <c r="B23" s="482"/>
      <c r="C23" s="482"/>
      <c r="D23" s="482"/>
      <c r="E23" s="482"/>
      <c r="F23" s="482"/>
      <c r="G23" s="482"/>
      <c r="H23" s="482"/>
    </row>
    <row r="24" spans="1:26">
      <c r="A24" s="288"/>
      <c r="D24" s="495"/>
      <c r="E24" s="495"/>
      <c r="H24" s="292"/>
    </row>
    <row r="25" spans="1:26">
      <c r="A25" s="288">
        <v>9</v>
      </c>
      <c r="B25" s="3" t="s">
        <v>767</v>
      </c>
      <c r="D25" s="495"/>
      <c r="E25" s="495"/>
      <c r="F25" s="495"/>
      <c r="G25" s="495"/>
      <c r="H25" s="292"/>
      <c r="I25" s="495"/>
      <c r="J25" s="495"/>
      <c r="K25" s="495"/>
      <c r="L25" s="495"/>
    </row>
    <row r="26" spans="1:26">
      <c r="A26" s="288">
        <v>10</v>
      </c>
      <c r="B26" s="305"/>
      <c r="F26" s="496"/>
    </row>
    <row r="27" spans="1:26">
      <c r="A27" s="291"/>
      <c r="B27" s="309" t="s">
        <v>431</v>
      </c>
      <c r="C27" s="309" t="s">
        <v>433</v>
      </c>
      <c r="D27" s="497" t="s">
        <v>286</v>
      </c>
      <c r="E27" s="498" t="s">
        <v>288</v>
      </c>
      <c r="F27" s="498" t="s">
        <v>290</v>
      </c>
      <c r="G27" s="498" t="s">
        <v>292</v>
      </c>
      <c r="H27" s="498" t="s">
        <v>294</v>
      </c>
      <c r="I27" s="498" t="s">
        <v>302</v>
      </c>
      <c r="J27" s="498" t="s">
        <v>304</v>
      </c>
      <c r="K27" s="498" t="s">
        <v>306</v>
      </c>
      <c r="L27" s="498" t="s">
        <v>308</v>
      </c>
      <c r="M27" s="498" t="s">
        <v>768</v>
      </c>
      <c r="N27" s="498" t="s">
        <v>312</v>
      </c>
      <c r="O27" s="499" t="s">
        <v>446</v>
      </c>
      <c r="P27" s="312" t="s">
        <v>316</v>
      </c>
      <c r="Q27" s="500" t="s">
        <v>318</v>
      </c>
    </row>
    <row r="28" spans="1:26">
      <c r="A28" s="288"/>
      <c r="B28" s="306"/>
      <c r="C28" s="296"/>
      <c r="D28" s="311"/>
      <c r="E28" s="292"/>
      <c r="F28" s="292"/>
      <c r="G28" s="291"/>
      <c r="H28" s="292"/>
      <c r="J28" s="292"/>
      <c r="O28" s="501"/>
      <c r="P28" s="295"/>
      <c r="Q28" s="306"/>
    </row>
    <row r="29" spans="1:26">
      <c r="A29" s="288"/>
      <c r="B29" s="308"/>
      <c r="C29" s="310"/>
      <c r="D29" s="311"/>
      <c r="E29" s="292"/>
      <c r="F29" s="292"/>
      <c r="G29" s="292"/>
      <c r="H29" s="292"/>
      <c r="I29" s="292"/>
      <c r="J29" s="292"/>
      <c r="K29" s="292"/>
      <c r="L29" s="292"/>
      <c r="M29" s="292"/>
      <c r="N29" s="292"/>
      <c r="O29" s="502"/>
      <c r="P29" s="311"/>
      <c r="Q29" s="310"/>
    </row>
    <row r="30" spans="1:26">
      <c r="A30" s="288"/>
      <c r="B30" s="310" t="s">
        <v>504</v>
      </c>
      <c r="C30" s="310"/>
      <c r="D30" s="503" t="s">
        <v>769</v>
      </c>
      <c r="E30" s="495"/>
      <c r="F30" s="495"/>
      <c r="G30" s="495"/>
      <c r="H30" s="495"/>
      <c r="I30" s="495"/>
      <c r="J30" s="495"/>
      <c r="K30" s="495"/>
      <c r="L30" s="495"/>
      <c r="M30" s="495"/>
      <c r="N30" s="495"/>
      <c r="O30" s="504"/>
      <c r="P30" s="311" t="s">
        <v>503</v>
      </c>
      <c r="Q30" s="310" t="s">
        <v>503</v>
      </c>
    </row>
    <row r="31" spans="1:26">
      <c r="A31" s="288"/>
      <c r="B31" s="302" t="s">
        <v>512</v>
      </c>
      <c r="C31" s="302" t="s">
        <v>513</v>
      </c>
      <c r="D31" s="505" t="s">
        <v>573</v>
      </c>
      <c r="E31" s="506" t="s">
        <v>574</v>
      </c>
      <c r="F31" s="507" t="s">
        <v>644</v>
      </c>
      <c r="G31" s="507" t="s">
        <v>576</v>
      </c>
      <c r="H31" s="506" t="s">
        <v>577</v>
      </c>
      <c r="I31" s="506" t="s">
        <v>578</v>
      </c>
      <c r="J31" s="506" t="s">
        <v>579</v>
      </c>
      <c r="K31" s="506" t="s">
        <v>645</v>
      </c>
      <c r="L31" s="506" t="s">
        <v>581</v>
      </c>
      <c r="M31" s="506" t="s">
        <v>582</v>
      </c>
      <c r="N31" s="506" t="s">
        <v>583</v>
      </c>
      <c r="O31" s="508" t="s">
        <v>646</v>
      </c>
      <c r="P31" s="505" t="s">
        <v>770</v>
      </c>
      <c r="Q31" s="302" t="s">
        <v>540</v>
      </c>
    </row>
    <row r="32" spans="1:26">
      <c r="A32" s="288">
        <v>11</v>
      </c>
      <c r="B32" s="320"/>
      <c r="C32" s="320"/>
      <c r="D32" s="321"/>
      <c r="E32" s="328"/>
      <c r="F32" s="328"/>
      <c r="G32" s="328"/>
      <c r="H32" s="328"/>
      <c r="I32" s="509"/>
      <c r="J32" s="509"/>
      <c r="K32" s="509"/>
      <c r="L32" s="509"/>
      <c r="M32" s="305"/>
      <c r="N32" s="305"/>
      <c r="O32" s="510"/>
      <c r="P32" s="511"/>
      <c r="Q32" s="308"/>
    </row>
    <row r="33" spans="1:17">
      <c r="A33" s="288" t="s">
        <v>771</v>
      </c>
      <c r="B33" s="320"/>
      <c r="C33" s="320"/>
      <c r="D33" s="321"/>
      <c r="E33" s="328"/>
      <c r="F33" s="328"/>
      <c r="G33" s="328"/>
      <c r="H33" s="328"/>
      <c r="I33" s="328"/>
      <c r="J33" s="328"/>
      <c r="K33" s="509"/>
      <c r="L33" s="509"/>
      <c r="M33" s="305"/>
      <c r="N33" s="305"/>
      <c r="O33" s="510"/>
      <c r="P33" s="512">
        <f>+H17</f>
        <v>0</v>
      </c>
      <c r="Q33" s="513">
        <f>+P33*(D33+E33*0.91667+F33*0.83333+G33*0.75+H33*0.66667+I33*7/12+J33*6/12+K33*5/12+L33*4/12+M33*3/12+N33*2/12+O33*1/12)+P33*1.5*SUM(D33:O33)</f>
        <v>0</v>
      </c>
    </row>
    <row r="34" spans="1:17">
      <c r="A34" s="288" t="s">
        <v>772</v>
      </c>
      <c r="B34" s="320"/>
      <c r="C34" s="320"/>
      <c r="D34" s="321"/>
      <c r="E34" s="328"/>
      <c r="F34" s="328"/>
      <c r="G34" s="328"/>
      <c r="H34" s="328"/>
      <c r="I34" s="328"/>
      <c r="J34" s="328"/>
      <c r="K34" s="509"/>
      <c r="L34" s="509"/>
      <c r="M34" s="305"/>
      <c r="N34" s="305"/>
      <c r="O34" s="510"/>
      <c r="P34" s="512">
        <f>+P33</f>
        <v>0</v>
      </c>
      <c r="Q34" s="513">
        <f t="shared" ref="Q34:Q51" si="2">+P34*(D34+E34*0.91667+F34*0.83333+G34*0.75+H34*0.66667+I34*7/12+J34*6/12+K34*5/12+L34*4/12+M34*3/12+N34*2/12+O34*1/12)+P34*1.5*SUM(D34:O34)</f>
        <v>0</v>
      </c>
    </row>
    <row r="35" spans="1:17">
      <c r="A35" s="288" t="s">
        <v>773</v>
      </c>
      <c r="B35" s="320"/>
      <c r="C35" s="320"/>
      <c r="D35" s="321"/>
      <c r="E35" s="328"/>
      <c r="F35" s="328"/>
      <c r="G35" s="328"/>
      <c r="H35" s="328"/>
      <c r="I35" s="328"/>
      <c r="J35" s="328"/>
      <c r="K35" s="509"/>
      <c r="L35" s="509"/>
      <c r="M35" s="305"/>
      <c r="N35" s="305"/>
      <c r="O35" s="510"/>
      <c r="P35" s="512">
        <f t="shared" ref="P35:P51" si="3">+P34</f>
        <v>0</v>
      </c>
      <c r="Q35" s="513">
        <f t="shared" si="2"/>
        <v>0</v>
      </c>
    </row>
    <row r="36" spans="1:17">
      <c r="A36" s="288" t="s">
        <v>618</v>
      </c>
      <c r="B36" s="320"/>
      <c r="C36" s="320"/>
      <c r="D36" s="321"/>
      <c r="E36" s="328"/>
      <c r="F36" s="328"/>
      <c r="G36" s="328"/>
      <c r="H36" s="328"/>
      <c r="I36" s="328"/>
      <c r="J36" s="328"/>
      <c r="K36" s="509"/>
      <c r="L36" s="509"/>
      <c r="M36" s="305"/>
      <c r="N36" s="305"/>
      <c r="O36" s="510"/>
      <c r="P36" s="512">
        <f t="shared" si="3"/>
        <v>0</v>
      </c>
      <c r="Q36" s="513">
        <f t="shared" si="2"/>
        <v>0</v>
      </c>
    </row>
    <row r="37" spans="1:17">
      <c r="A37" s="288"/>
      <c r="B37" s="320"/>
      <c r="C37" s="320"/>
      <c r="D37" s="321"/>
      <c r="E37" s="328"/>
      <c r="F37" s="328"/>
      <c r="G37" s="328"/>
      <c r="H37" s="328"/>
      <c r="I37" s="328"/>
      <c r="J37" s="328"/>
      <c r="K37" s="509"/>
      <c r="L37" s="509"/>
      <c r="M37" s="305"/>
      <c r="N37" s="305"/>
      <c r="O37" s="510"/>
      <c r="P37" s="512">
        <f t="shared" si="3"/>
        <v>0</v>
      </c>
      <c r="Q37" s="513">
        <f t="shared" si="2"/>
        <v>0</v>
      </c>
    </row>
    <row r="38" spans="1:17">
      <c r="A38" s="288"/>
      <c r="B38" s="320"/>
      <c r="C38" s="320"/>
      <c r="D38" s="321"/>
      <c r="E38" s="328"/>
      <c r="F38" s="328"/>
      <c r="G38" s="328"/>
      <c r="H38" s="328"/>
      <c r="I38" s="328"/>
      <c r="J38" s="328"/>
      <c r="K38" s="509"/>
      <c r="L38" s="509"/>
      <c r="M38" s="305"/>
      <c r="N38" s="305"/>
      <c r="O38" s="510"/>
      <c r="P38" s="512">
        <f t="shared" si="3"/>
        <v>0</v>
      </c>
      <c r="Q38" s="513">
        <f t="shared" si="2"/>
        <v>0</v>
      </c>
    </row>
    <row r="39" spans="1:17">
      <c r="A39" s="288"/>
      <c r="B39" s="320"/>
      <c r="C39" s="320"/>
      <c r="D39" s="321"/>
      <c r="E39" s="328"/>
      <c r="F39" s="328"/>
      <c r="G39" s="328"/>
      <c r="H39" s="328"/>
      <c r="I39" s="328"/>
      <c r="J39" s="328"/>
      <c r="K39" s="509"/>
      <c r="L39" s="509"/>
      <c r="M39" s="305"/>
      <c r="N39" s="305"/>
      <c r="O39" s="510"/>
      <c r="P39" s="512">
        <f t="shared" si="3"/>
        <v>0</v>
      </c>
      <c r="Q39" s="513">
        <f t="shared" si="2"/>
        <v>0</v>
      </c>
    </row>
    <row r="40" spans="1:17">
      <c r="A40" s="288"/>
      <c r="B40" s="320"/>
      <c r="C40" s="320"/>
      <c r="D40" s="321"/>
      <c r="E40" s="328"/>
      <c r="F40" s="328"/>
      <c r="G40" s="328"/>
      <c r="H40" s="328"/>
      <c r="I40" s="328"/>
      <c r="J40" s="328"/>
      <c r="K40" s="509"/>
      <c r="L40" s="509"/>
      <c r="M40" s="305"/>
      <c r="N40" s="305"/>
      <c r="O40" s="510"/>
      <c r="P40" s="512">
        <f t="shared" si="3"/>
        <v>0</v>
      </c>
      <c r="Q40" s="513">
        <f t="shared" si="2"/>
        <v>0</v>
      </c>
    </row>
    <row r="41" spans="1:17">
      <c r="A41" s="288"/>
      <c r="B41" s="320"/>
      <c r="C41" s="320"/>
      <c r="D41" s="321"/>
      <c r="E41" s="328"/>
      <c r="F41" s="328"/>
      <c r="G41" s="328"/>
      <c r="H41" s="328"/>
      <c r="I41" s="328"/>
      <c r="J41" s="328"/>
      <c r="K41" s="509"/>
      <c r="L41" s="509"/>
      <c r="M41" s="305"/>
      <c r="N41" s="305"/>
      <c r="O41" s="510"/>
      <c r="P41" s="512">
        <f t="shared" si="3"/>
        <v>0</v>
      </c>
      <c r="Q41" s="513">
        <f t="shared" si="2"/>
        <v>0</v>
      </c>
    </row>
    <row r="42" spans="1:17">
      <c r="A42" s="288"/>
      <c r="B42" s="320"/>
      <c r="C42" s="320"/>
      <c r="D42" s="321"/>
      <c r="E42" s="328"/>
      <c r="F42" s="328"/>
      <c r="G42" s="328"/>
      <c r="H42" s="328"/>
      <c r="I42" s="328"/>
      <c r="J42" s="328"/>
      <c r="K42" s="509"/>
      <c r="L42" s="509"/>
      <c r="M42" s="305"/>
      <c r="N42" s="305"/>
      <c r="O42" s="510"/>
      <c r="P42" s="512">
        <f t="shared" si="3"/>
        <v>0</v>
      </c>
      <c r="Q42" s="513">
        <f t="shared" si="2"/>
        <v>0</v>
      </c>
    </row>
    <row r="43" spans="1:17">
      <c r="A43" s="288"/>
      <c r="B43" s="320"/>
      <c r="C43" s="320"/>
      <c r="D43" s="321"/>
      <c r="E43" s="328"/>
      <c r="F43" s="328"/>
      <c r="G43" s="328"/>
      <c r="H43" s="328"/>
      <c r="I43" s="328"/>
      <c r="J43" s="328"/>
      <c r="K43" s="509"/>
      <c r="L43" s="509"/>
      <c r="M43" s="305"/>
      <c r="N43" s="305"/>
      <c r="O43" s="510"/>
      <c r="P43" s="512">
        <f t="shared" si="3"/>
        <v>0</v>
      </c>
      <c r="Q43" s="513">
        <f t="shared" si="2"/>
        <v>0</v>
      </c>
    </row>
    <row r="44" spans="1:17">
      <c r="A44" s="288"/>
      <c r="B44" s="320"/>
      <c r="C44" s="320"/>
      <c r="D44" s="321"/>
      <c r="E44" s="328"/>
      <c r="F44" s="328"/>
      <c r="G44" s="328"/>
      <c r="H44" s="328"/>
      <c r="I44" s="328"/>
      <c r="J44" s="328"/>
      <c r="K44" s="509"/>
      <c r="L44" s="509"/>
      <c r="M44" s="305"/>
      <c r="N44" s="305"/>
      <c r="O44" s="510"/>
      <c r="P44" s="512">
        <f t="shared" si="3"/>
        <v>0</v>
      </c>
      <c r="Q44" s="513">
        <f t="shared" si="2"/>
        <v>0</v>
      </c>
    </row>
    <row r="45" spans="1:17">
      <c r="A45" s="288"/>
      <c r="B45" s="320"/>
      <c r="C45" s="320"/>
      <c r="D45" s="321"/>
      <c r="E45" s="328"/>
      <c r="F45" s="328"/>
      <c r="G45" s="328"/>
      <c r="H45" s="328"/>
      <c r="I45" s="328"/>
      <c r="J45" s="328"/>
      <c r="K45" s="509"/>
      <c r="L45" s="509"/>
      <c r="M45" s="305"/>
      <c r="N45" s="305"/>
      <c r="O45" s="510"/>
      <c r="P45" s="512">
        <f t="shared" si="3"/>
        <v>0</v>
      </c>
      <c r="Q45" s="513">
        <f t="shared" si="2"/>
        <v>0</v>
      </c>
    </row>
    <row r="46" spans="1:17">
      <c r="A46" s="288"/>
      <c r="B46" s="320"/>
      <c r="C46" s="320"/>
      <c r="D46" s="321"/>
      <c r="E46" s="328"/>
      <c r="F46" s="328"/>
      <c r="G46" s="328"/>
      <c r="H46" s="328"/>
      <c r="I46" s="328"/>
      <c r="J46" s="328"/>
      <c r="K46" s="509"/>
      <c r="L46" s="509"/>
      <c r="M46" s="305"/>
      <c r="N46" s="305"/>
      <c r="O46" s="510"/>
      <c r="P46" s="512">
        <f t="shared" si="3"/>
        <v>0</v>
      </c>
      <c r="Q46" s="513">
        <f t="shared" si="2"/>
        <v>0</v>
      </c>
    </row>
    <row r="47" spans="1:17">
      <c r="A47" s="288"/>
      <c r="B47" s="320"/>
      <c r="C47" s="320"/>
      <c r="D47" s="321"/>
      <c r="E47" s="328"/>
      <c r="F47" s="328"/>
      <c r="G47" s="328"/>
      <c r="H47" s="328"/>
      <c r="I47" s="328"/>
      <c r="J47" s="328"/>
      <c r="K47" s="509"/>
      <c r="L47" s="509"/>
      <c r="M47" s="305"/>
      <c r="N47" s="305"/>
      <c r="O47" s="510"/>
      <c r="P47" s="512">
        <f t="shared" si="3"/>
        <v>0</v>
      </c>
      <c r="Q47" s="513">
        <f t="shared" si="2"/>
        <v>0</v>
      </c>
    </row>
    <row r="48" spans="1:17">
      <c r="A48" s="288"/>
      <c r="B48" s="320"/>
      <c r="C48" s="320"/>
      <c r="D48" s="321"/>
      <c r="E48" s="328"/>
      <c r="F48" s="328"/>
      <c r="G48" s="328"/>
      <c r="H48" s="328"/>
      <c r="I48" s="328"/>
      <c r="J48" s="328"/>
      <c r="K48" s="509"/>
      <c r="L48" s="509"/>
      <c r="M48" s="305"/>
      <c r="N48" s="305"/>
      <c r="O48" s="510"/>
      <c r="P48" s="512">
        <f t="shared" si="3"/>
        <v>0</v>
      </c>
      <c r="Q48" s="513">
        <f t="shared" si="2"/>
        <v>0</v>
      </c>
    </row>
    <row r="49" spans="1:17">
      <c r="A49" s="288"/>
      <c r="B49" s="320"/>
      <c r="C49" s="320"/>
      <c r="D49" s="321"/>
      <c r="E49" s="328"/>
      <c r="F49" s="328"/>
      <c r="G49" s="328"/>
      <c r="H49" s="328"/>
      <c r="I49" s="328"/>
      <c r="J49" s="328"/>
      <c r="K49" s="509"/>
      <c r="L49" s="509"/>
      <c r="M49" s="305"/>
      <c r="N49" s="305"/>
      <c r="O49" s="510"/>
      <c r="P49" s="512">
        <f t="shared" si="3"/>
        <v>0</v>
      </c>
      <c r="Q49" s="513">
        <f t="shared" si="2"/>
        <v>0</v>
      </c>
    </row>
    <row r="50" spans="1:17">
      <c r="A50" s="288"/>
      <c r="B50" s="320"/>
      <c r="C50" s="320"/>
      <c r="D50" s="321"/>
      <c r="E50" s="328"/>
      <c r="F50" s="328"/>
      <c r="G50" s="328"/>
      <c r="H50" s="328"/>
      <c r="I50" s="328"/>
      <c r="J50" s="328"/>
      <c r="K50" s="509"/>
      <c r="L50" s="509"/>
      <c r="M50" s="305"/>
      <c r="N50" s="305"/>
      <c r="O50" s="510"/>
      <c r="P50" s="512">
        <f t="shared" si="3"/>
        <v>0</v>
      </c>
      <c r="Q50" s="513">
        <f t="shared" si="2"/>
        <v>0</v>
      </c>
    </row>
    <row r="51" spans="1:17">
      <c r="A51" s="288"/>
      <c r="B51" s="320"/>
      <c r="C51" s="320"/>
      <c r="D51" s="321"/>
      <c r="E51" s="328"/>
      <c r="F51" s="328"/>
      <c r="G51" s="328"/>
      <c r="H51" s="328"/>
      <c r="I51" s="328"/>
      <c r="J51" s="328"/>
      <c r="K51" s="509"/>
      <c r="L51" s="509"/>
      <c r="M51" s="305"/>
      <c r="N51" s="305"/>
      <c r="O51" s="510"/>
      <c r="P51" s="512">
        <f t="shared" si="3"/>
        <v>0</v>
      </c>
      <c r="Q51" s="513">
        <f t="shared" si="2"/>
        <v>0</v>
      </c>
    </row>
    <row r="52" spans="1:17">
      <c r="A52" s="288"/>
      <c r="B52" s="324"/>
      <c r="C52" s="324"/>
      <c r="D52" s="325"/>
      <c r="E52" s="514"/>
      <c r="F52" s="303"/>
      <c r="G52" s="514"/>
      <c r="H52" s="515"/>
      <c r="I52" s="303"/>
      <c r="J52" s="303"/>
      <c r="K52" s="303"/>
      <c r="L52" s="303"/>
      <c r="M52" s="303"/>
      <c r="N52" s="303"/>
      <c r="O52" s="304"/>
      <c r="P52" s="516"/>
      <c r="Q52" s="324"/>
    </row>
    <row r="53" spans="1:17">
      <c r="A53" s="288"/>
      <c r="D53" s="22"/>
      <c r="E53" s="22"/>
      <c r="F53" s="22"/>
      <c r="G53" s="22"/>
      <c r="H53" s="22"/>
      <c r="I53" s="22"/>
      <c r="J53" s="22"/>
      <c r="K53" s="22"/>
      <c r="L53" s="22"/>
    </row>
    <row r="54" spans="1:17">
      <c r="A54" s="288"/>
      <c r="B54" s="3" t="s">
        <v>542</v>
      </c>
      <c r="D54" s="22"/>
      <c r="E54" s="22"/>
      <c r="F54" s="22"/>
      <c r="G54" s="22"/>
      <c r="H54" s="22"/>
      <c r="I54" s="22"/>
      <c r="J54" s="22"/>
      <c r="K54" s="22"/>
      <c r="L54" s="22"/>
    </row>
    <row r="55" spans="1:17">
      <c r="A55" s="288"/>
      <c r="B55" s="3" t="s">
        <v>774</v>
      </c>
      <c r="D55" s="22"/>
      <c r="E55" s="22"/>
      <c r="F55" s="22"/>
      <c r="G55" s="22"/>
      <c r="H55" s="22"/>
      <c r="I55" s="22"/>
      <c r="J55" s="22"/>
      <c r="K55" s="22"/>
      <c r="L55" s="22"/>
    </row>
    <row r="56" spans="1:17">
      <c r="A56" s="288"/>
      <c r="B56" s="3" t="s">
        <v>775</v>
      </c>
      <c r="D56" s="22"/>
      <c r="E56" s="22"/>
      <c r="F56" s="22"/>
      <c r="G56" s="22"/>
      <c r="H56" s="22"/>
      <c r="I56" s="22"/>
      <c r="J56" s="22"/>
      <c r="K56" s="22"/>
      <c r="L56" s="22"/>
    </row>
    <row r="70" ht="24" customHeight="1"/>
  </sheetData>
  <mergeCells count="5">
    <mergeCell ref="D24:E24"/>
    <mergeCell ref="D25:E25"/>
    <mergeCell ref="F25:G25"/>
    <mergeCell ref="I25:L25"/>
    <mergeCell ref="D30:O30"/>
  </mergeCells>
  <pageMargins left="0.25" right="0.25" top="0.75" bottom="0.75" header="0.3" footer="0.3"/>
  <pageSetup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C49A-8DFF-48B2-99B8-288F24E39F28}">
  <sheetPr>
    <pageSetUpPr fitToPage="1"/>
  </sheetPr>
  <dimension ref="A1:M68"/>
  <sheetViews>
    <sheetView zoomScale="85" zoomScaleNormal="85" zoomScaleSheetLayoutView="75" workbookViewId="0">
      <selection activeCell="D253" sqref="D253"/>
    </sheetView>
  </sheetViews>
  <sheetFormatPr defaultRowHeight="15"/>
  <cols>
    <col min="2" max="2" width="43.77734375" customWidth="1"/>
    <col min="3" max="3" width="15.5546875" customWidth="1"/>
    <col min="4" max="4" width="16.21875" customWidth="1"/>
  </cols>
  <sheetData>
    <row r="1" spans="1:6" ht="15.75">
      <c r="A1" s="480"/>
      <c r="C1" s="517" t="s">
        <v>776</v>
      </c>
      <c r="F1" s="518" t="s">
        <v>451</v>
      </c>
    </row>
    <row r="2" spans="1:6">
      <c r="C2" s="519" t="s">
        <v>777</v>
      </c>
    </row>
    <row r="3" spans="1:6">
      <c r="C3" s="255" t="str">
        <f>'Attachment H'!$D$5</f>
        <v>NextEra Energy Transmission MidAtlantic Indiana, Inc.</v>
      </c>
    </row>
    <row r="4" spans="1:6">
      <c r="C4" s="520"/>
    </row>
    <row r="5" spans="1:6">
      <c r="A5" s="521"/>
      <c r="B5" s="522" t="s">
        <v>778</v>
      </c>
      <c r="C5" s="523"/>
      <c r="D5" s="524"/>
    </row>
    <row r="6" spans="1:6">
      <c r="A6" s="521"/>
      <c r="B6" s="525" t="s">
        <v>536</v>
      </c>
      <c r="C6" s="523"/>
      <c r="D6" s="525" t="s">
        <v>537</v>
      </c>
      <c r="E6" s="525"/>
    </row>
    <row r="7" spans="1:6">
      <c r="A7" s="521"/>
      <c r="B7" s="523"/>
      <c r="C7" s="523"/>
      <c r="D7" s="526"/>
    </row>
    <row r="8" spans="1:6">
      <c r="A8" s="369">
        <v>1</v>
      </c>
      <c r="B8" s="3"/>
      <c r="C8" s="527"/>
      <c r="D8" s="528" t="s">
        <v>779</v>
      </c>
      <c r="E8" s="529"/>
    </row>
    <row r="9" spans="1:6">
      <c r="A9" s="369">
        <v>2</v>
      </c>
      <c r="B9" s="530" t="s">
        <v>780</v>
      </c>
      <c r="C9" s="530"/>
      <c r="D9" s="531">
        <v>0</v>
      </c>
      <c r="E9" s="22"/>
    </row>
    <row r="10" spans="1:6">
      <c r="A10" s="369">
        <v>3</v>
      </c>
      <c r="B10" s="530" t="s">
        <v>781</v>
      </c>
      <c r="C10" s="530"/>
      <c r="D10" s="531">
        <v>0</v>
      </c>
      <c r="E10" s="22"/>
    </row>
    <row r="11" spans="1:6">
      <c r="A11" s="369">
        <v>4</v>
      </c>
      <c r="B11" s="530" t="s">
        <v>782</v>
      </c>
      <c r="C11" s="530"/>
      <c r="D11" s="75">
        <f>IF(D9=0,0,D9/D10)</f>
        <v>0</v>
      </c>
      <c r="E11" s="22"/>
    </row>
    <row r="12" spans="1:6">
      <c r="A12" s="369">
        <v>5</v>
      </c>
      <c r="B12" s="530" t="s">
        <v>783</v>
      </c>
      <c r="C12" s="530"/>
      <c r="D12" s="532">
        <v>0</v>
      </c>
      <c r="E12" s="22"/>
    </row>
    <row r="13" spans="1:6">
      <c r="A13" s="369">
        <v>6</v>
      </c>
      <c r="B13" s="530" t="s">
        <v>784</v>
      </c>
      <c r="C13" s="530" t="s">
        <v>785</v>
      </c>
      <c r="D13" s="22">
        <f>D11*D12</f>
        <v>0</v>
      </c>
      <c r="E13" s="22"/>
    </row>
    <row r="14" spans="1:6">
      <c r="A14" s="369">
        <v>7</v>
      </c>
      <c r="B14" s="530" t="s">
        <v>786</v>
      </c>
      <c r="C14" s="530"/>
      <c r="D14" s="22"/>
      <c r="E14" s="22"/>
    </row>
    <row r="15" spans="1:6">
      <c r="A15" s="3"/>
      <c r="B15" s="3"/>
      <c r="C15" s="3"/>
      <c r="D15" s="3"/>
      <c r="E15" s="3"/>
    </row>
    <row r="16" spans="1:6" ht="25.5">
      <c r="A16" s="369">
        <v>8</v>
      </c>
      <c r="B16" s="533" t="s">
        <v>787</v>
      </c>
      <c r="C16" s="3"/>
      <c r="D16" s="534"/>
      <c r="E16" s="25"/>
    </row>
    <row r="18" spans="1:13">
      <c r="A18" s="535" t="s">
        <v>280</v>
      </c>
      <c r="B18" s="535"/>
      <c r="C18" s="151"/>
      <c r="D18" s="151"/>
      <c r="E18" s="151"/>
      <c r="F18" s="151"/>
      <c r="G18" s="151"/>
      <c r="H18" s="151"/>
      <c r="I18" s="151"/>
      <c r="J18" s="151"/>
      <c r="K18" s="151"/>
      <c r="L18" s="151"/>
      <c r="M18" s="151"/>
    </row>
    <row r="19" spans="1:13" ht="15.75" thickBot="1">
      <c r="A19" s="536" t="s">
        <v>281</v>
      </c>
      <c r="B19" s="535"/>
      <c r="C19" s="151"/>
      <c r="D19" s="151"/>
      <c r="E19" s="151"/>
      <c r="F19" s="151"/>
      <c r="G19" s="151"/>
      <c r="H19" s="151"/>
      <c r="I19" s="151"/>
      <c r="J19" s="151"/>
      <c r="K19" s="151"/>
      <c r="L19" s="151"/>
      <c r="M19" s="151"/>
    </row>
    <row r="20" spans="1:13">
      <c r="A20" s="537" t="s">
        <v>431</v>
      </c>
      <c r="B20" s="538" t="s">
        <v>788</v>
      </c>
      <c r="C20" s="539"/>
      <c r="D20" s="539"/>
      <c r="E20" s="539"/>
      <c r="F20" s="539"/>
      <c r="G20" s="539"/>
      <c r="H20" s="540"/>
      <c r="I20" s="540"/>
      <c r="J20" s="540"/>
      <c r="K20" s="540"/>
      <c r="L20" s="540"/>
      <c r="M20" s="540"/>
    </row>
    <row r="21" spans="1:13">
      <c r="A21" s="541"/>
      <c r="B21" s="542"/>
      <c r="C21" s="542"/>
      <c r="D21" s="542"/>
      <c r="E21" s="542"/>
      <c r="F21" s="542"/>
      <c r="G21" s="542"/>
    </row>
    <row r="22" spans="1:13">
      <c r="A22" s="542"/>
      <c r="B22" s="542"/>
      <c r="C22" s="542"/>
      <c r="D22" s="542"/>
      <c r="E22" s="542"/>
      <c r="F22" s="542"/>
      <c r="G22" s="542"/>
    </row>
    <row r="68" ht="24" customHeight="1"/>
  </sheetData>
  <pageMargins left="0.7" right="0.7" top="0.75" bottom="0.75" header="0.3" footer="0.3"/>
  <pageSetup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7B85CE7BBF7B479521C1428FC4A0C3" ma:contentTypeVersion="7" ma:contentTypeDescription="Create a new document." ma:contentTypeScope="" ma:versionID="5ce17e799700c62ef55e80c92e9364b3">
  <xsd:schema xmlns:xsd="http://www.w3.org/2001/XMLSchema" xmlns:xs="http://www.w3.org/2001/XMLSchema" xmlns:p="http://schemas.microsoft.com/office/2006/metadata/properties" xmlns:ns1="http://schemas.microsoft.com/sharepoint/v3" xmlns:ns2="6030f823-5bd0-444b-9a8c-df523fa07ba8" xmlns:ns3="a74e6210-048b-44cf-9e69-35ad2cc27529" targetNamespace="http://schemas.microsoft.com/office/2006/metadata/properties" ma:root="true" ma:fieldsID="648f268320ee320794e05552eb14edfb" ns1:_="" ns2:_="" ns3:_="">
    <xsd:import namespace="http://schemas.microsoft.com/sharepoint/v3"/>
    <xsd:import namespace="6030f823-5bd0-444b-9a8c-df523fa07ba8"/>
    <xsd:import namespace="a74e6210-048b-44cf-9e69-35ad2cc275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30f823-5bd0-444b-9a8c-df523fa07b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e6210-048b-44cf-9e69-35ad2cc2752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9A1A466-080F-4C9D-9FFA-4F9AE7344734}"/>
</file>

<file path=customXml/itemProps2.xml><?xml version="1.0" encoding="utf-8"?>
<ds:datastoreItem xmlns:ds="http://schemas.openxmlformats.org/officeDocument/2006/customXml" ds:itemID="{790B0657-2998-45F6-9998-1C5949D35844}"/>
</file>

<file path=customXml/itemProps3.xml><?xml version="1.0" encoding="utf-8"?>
<ds:datastoreItem xmlns:ds="http://schemas.openxmlformats.org/officeDocument/2006/customXml" ds:itemID="{0ED442F3-A464-45E4-B979-08BC445B91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'4- Rate Base'!Print_Area</vt:lpstr>
      <vt:lpstr>'4a-Projection ADIT'!Print_Area</vt:lpstr>
      <vt:lpstr>'5-P3 Support'!Print_Area</vt:lpstr>
      <vt:lpstr>'7 - PBOP'!Print_Area</vt:lpstr>
      <vt:lpstr>'8-Dep Rates'!Print_Area</vt:lpstr>
      <vt:lpstr>'Attachment H'!Print_Area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Weinstein, Carly</dc:creator>
  <cp:lastModifiedBy>Weinstein, Carly</cp:lastModifiedBy>
  <dcterms:created xsi:type="dcterms:W3CDTF">2021-05-14T17:53:18Z</dcterms:created>
  <dcterms:modified xsi:type="dcterms:W3CDTF">2021-05-14T17:55:43Z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0x010100497B85CE7BBF7B479521C1428FC4A0C3</vt:lpwstr>
  </property>
</Properties>
</file>